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D:\SO\2026\1. Jan\"/>
    </mc:Choice>
  </mc:AlternateContent>
  <xr:revisionPtr revIDLastSave="0" documentId="13_ncr:1_{E8B67BA7-90BE-45D9-A021-F4214861ADA9}" xr6:coauthVersionLast="47" xr6:coauthVersionMax="47" xr10:uidLastSave="{00000000-0000-0000-0000-000000000000}"/>
  <bookViews>
    <workbookView xWindow="-98" yWindow="-98" windowWidth="21795" windowHeight="12975" tabRatio="772" activeTab="3" xr2:uid="{00000000-000D-0000-FFFF-FFFF00000000}"/>
  </bookViews>
  <sheets>
    <sheet name="MasterSheet" sheetId="1" r:id="rId1"/>
    <sheet name="CK" sheetId="2" r:id="rId2"/>
    <sheet name="MasterSheet (2)" sheetId="215" state="hidden" r:id="rId3"/>
    <sheet name="INVENTORY" sheetId="216" r:id="rId4"/>
    <sheet name="SALES MIX" sheetId="217" r:id="rId5"/>
    <sheet name="COSTING SUMMARY" sheetId="218" r:id="rId6"/>
    <sheet name="COSTING" sheetId="57" r:id="rId7"/>
    <sheet name="Sample" sheetId="129" state="hidden" r:id="rId8"/>
    <sheet name="Coco-cole(Hot)" sheetId="194" state="hidden" r:id="rId9"/>
    <sheet name="Popcorn Chicken" sheetId="168" state="hidden" r:id="rId10"/>
    <sheet name="Coco-cole(Cheese)" sheetId="200" state="hidden" r:id="rId11"/>
    <sheet name="French Fries" sheetId="182" state="hidden" r:id="rId12"/>
    <sheet name="Cheesestick" sheetId="183" state="hidden" r:id="rId13"/>
    <sheet name="Fried dumpling" sheetId="136" state="hidden" r:id="rId14"/>
    <sheet name="Steamed Rice" sheetId="170" state="hidden" r:id="rId15"/>
    <sheet name="Mozzarella Cheese" sheetId="211" state="hidden" r:id="rId16"/>
    <sheet name="Sundae Ice cream(Vanila)" sheetId="203" state="hidden" r:id="rId17"/>
    <sheet name="Sundae Ice cream(Choco)" sheetId="204" state="hidden" r:id="rId18"/>
    <sheet name="Coleslaw" sheetId="177" state="hidden" r:id="rId19"/>
    <sheet name="Seaweed Roll" sheetId="187" state="hidden" r:id="rId20"/>
    <sheet name="Cheeseball" sheetId="172" state="hidden" r:id="rId21"/>
    <sheet name="Chicken Skin" sheetId="197" state="hidden" r:id="rId22"/>
    <sheet name="Corn Dog" sheetId="166" state="hidden" r:id="rId23"/>
    <sheet name="Fish Bread" sheetId="198" state="hidden" r:id="rId24"/>
    <sheet name="Kids meal" sheetId="207" state="hidden" r:id="rId25"/>
    <sheet name="Japchae" sheetId="199" state="hidden" r:id="rId26"/>
    <sheet name="K-Boost" sheetId="206" state="hidden" r:id="rId27"/>
    <sheet name="Misutgaru" sheetId="205" state="hidden" r:id="rId28"/>
    <sheet name="Golden Fried Wing (1pc)" sheetId="212" state="hidden" r:id="rId29"/>
    <sheet name="Hot Spicy Wing(1pc) (2)" sheetId="214" state="hidden" r:id="rId30"/>
    <sheet name="Cheesling Wing(1pc) (2)" sheetId="213" state="hidden" r:id="rId31"/>
    <sheet name="Golden Fried Wing Combo (4pc)" sheetId="208" state="hidden" r:id="rId32"/>
    <sheet name="Hot Spicy Rice Combo(4pcs)" sheetId="202" state="hidden" r:id="rId33"/>
    <sheet name="GFC Rice Combo(4pcs)" sheetId="201" state="hidden" r:id="rId34"/>
  </sheets>
  <externalReferences>
    <externalReference r:id="rId35"/>
    <externalReference r:id="rId36"/>
    <externalReference r:id="rId37"/>
    <externalReference r:id="rId38"/>
  </externalReferences>
  <definedNames>
    <definedName name="_xlnm._FilterDatabase" localSheetId="6" hidden="1">COSTING!$B$8:$O$943</definedName>
    <definedName name="_xlnm._FilterDatabase" localSheetId="4" hidden="1">'SALES MIX'!$B$13:$I$13</definedName>
    <definedName name="_xlnm.Print_Area" localSheetId="6">COSTING!$A$1:$Q$1080</definedName>
  </definedNames>
  <calcPr calcId="181029"/>
</workbook>
</file>

<file path=xl/calcChain.xml><?xml version="1.0" encoding="utf-8"?>
<calcChain xmlns="http://schemas.openxmlformats.org/spreadsheetml/2006/main">
  <c r="H70" i="216" l="1"/>
  <c r="N55" i="1"/>
  <c r="L55" i="1"/>
  <c r="H35" i="216"/>
  <c r="H34" i="216"/>
  <c r="F34" i="216"/>
  <c r="L54" i="1"/>
  <c r="N54" i="1" s="1"/>
  <c r="L115" i="1"/>
  <c r="N115" i="1" s="1"/>
  <c r="H33" i="216"/>
  <c r="L53" i="1"/>
  <c r="N53" i="1" s="1"/>
  <c r="L52" i="1"/>
  <c r="N52" i="1" s="1"/>
  <c r="L114" i="1"/>
  <c r="E79" i="57"/>
  <c r="E75" i="57"/>
  <c r="C79" i="57"/>
  <c r="C80" i="57"/>
  <c r="C81" i="57"/>
  <c r="C78" i="57"/>
  <c r="K96" i="2"/>
  <c r="L96" i="2" s="1"/>
  <c r="J96" i="2"/>
  <c r="E96" i="2"/>
  <c r="D96" i="2"/>
  <c r="F80" i="57"/>
  <c r="G80" i="57" s="1"/>
  <c r="F81" i="57"/>
  <c r="G81" i="57" s="1"/>
  <c r="E81" i="57"/>
  <c r="E82" i="57"/>
  <c r="C82" i="57"/>
  <c r="K72" i="57"/>
  <c r="J72" i="57"/>
  <c r="D72" i="57"/>
  <c r="E80" i="57"/>
  <c r="E78" i="57"/>
  <c r="E77" i="57"/>
  <c r="C77" i="57"/>
  <c r="E76" i="57"/>
  <c r="C76" i="57"/>
  <c r="D75" i="57"/>
  <c r="D76" i="57" s="1"/>
  <c r="C75" i="57"/>
  <c r="N114" i="1" l="1"/>
  <c r="O114" i="1"/>
  <c r="Z70" i="216"/>
  <c r="Y70" i="216"/>
  <c r="Y35" i="216"/>
  <c r="Y34" i="216"/>
  <c r="Y33" i="216"/>
  <c r="Z35" i="216"/>
  <c r="Z34" i="216"/>
  <c r="Z33" i="216"/>
  <c r="AA35" i="216"/>
  <c r="AA33" i="216"/>
  <c r="AA34" i="216"/>
  <c r="AB35" i="216"/>
  <c r="AB34" i="216"/>
  <c r="AB33" i="216"/>
  <c r="D79" i="57"/>
  <c r="D77" i="57"/>
  <c r="G93" i="217"/>
  <c r="G97" i="217"/>
  <c r="G72" i="217"/>
  <c r="G73" i="217"/>
  <c r="G74" i="217"/>
  <c r="G75" i="217"/>
  <c r="G76" i="217"/>
  <c r="G77" i="217"/>
  <c r="G78" i="217"/>
  <c r="G21" i="217"/>
  <c r="G22" i="217"/>
  <c r="G23" i="217"/>
  <c r="G24" i="217"/>
  <c r="G25" i="217"/>
  <c r="G26" i="217"/>
  <c r="G27" i="217"/>
  <c r="G28" i="217"/>
  <c r="G29" i="217"/>
  <c r="G30" i="217"/>
  <c r="G31" i="217"/>
  <c r="G32" i="217"/>
  <c r="G33" i="217"/>
  <c r="G34" i="217"/>
  <c r="G35" i="217"/>
  <c r="G36" i="217"/>
  <c r="G37" i="217"/>
  <c r="G38" i="217"/>
  <c r="G39" i="217"/>
  <c r="G40" i="217"/>
  <c r="G41" i="217"/>
  <c r="G42" i="217"/>
  <c r="G43" i="217"/>
  <c r="G44" i="217"/>
  <c r="G45" i="217"/>
  <c r="G46" i="217"/>
  <c r="G47" i="217"/>
  <c r="G48" i="217"/>
  <c r="G49" i="217"/>
  <c r="G50" i="217"/>
  <c r="G51" i="217"/>
  <c r="G52" i="217"/>
  <c r="G53" i="217"/>
  <c r="G54" i="217"/>
  <c r="G55" i="217"/>
  <c r="G56" i="217"/>
  <c r="G57" i="217"/>
  <c r="G58" i="217"/>
  <c r="G59" i="217"/>
  <c r="G60" i="217"/>
  <c r="G61" i="217"/>
  <c r="G62" i="217"/>
  <c r="G63" i="217"/>
  <c r="G64" i="217"/>
  <c r="G65" i="217"/>
  <c r="G66" i="217"/>
  <c r="G67" i="217"/>
  <c r="G68" i="217"/>
  <c r="G69" i="217"/>
  <c r="G70" i="217"/>
  <c r="G71" i="217"/>
  <c r="G79" i="217"/>
  <c r="G80" i="217"/>
  <c r="G81" i="217"/>
  <c r="G82" i="217"/>
  <c r="G83" i="217"/>
  <c r="G84" i="217"/>
  <c r="G85" i="217"/>
  <c r="G86" i="217"/>
  <c r="G87" i="217"/>
  <c r="G88" i="217"/>
  <c r="G89" i="217"/>
  <c r="G90" i="217"/>
  <c r="G91" i="217"/>
  <c r="G92" i="217"/>
  <c r="G94" i="217"/>
  <c r="G95" i="217"/>
  <c r="G96" i="217"/>
  <c r="G98" i="217"/>
  <c r="G99" i="217"/>
  <c r="G100" i="217"/>
  <c r="G101" i="217"/>
  <c r="G102" i="217"/>
  <c r="G103" i="217"/>
  <c r="G104" i="217"/>
  <c r="G105" i="217"/>
  <c r="G106" i="217"/>
  <c r="G107" i="217"/>
  <c r="G108" i="217"/>
  <c r="G122" i="217"/>
  <c r="G121" i="217"/>
  <c r="G120" i="217"/>
  <c r="G119" i="217"/>
  <c r="G118" i="217"/>
  <c r="G117" i="217"/>
  <c r="G116" i="217"/>
  <c r="G115" i="217"/>
  <c r="G114" i="217"/>
  <c r="G113" i="217"/>
  <c r="G112" i="217"/>
  <c r="G111" i="217"/>
  <c r="G110" i="217"/>
  <c r="G109" i="217"/>
  <c r="G20" i="217"/>
  <c r="G19" i="217"/>
  <c r="G18" i="217"/>
  <c r="G17" i="217"/>
  <c r="G16" i="217"/>
  <c r="G15" i="217"/>
  <c r="G14" i="217"/>
  <c r="C15" i="218"/>
  <c r="G11" i="217" l="1"/>
  <c r="I93" i="217" s="1"/>
  <c r="I48" i="217" l="1"/>
  <c r="I97" i="217"/>
  <c r="I62" i="217"/>
  <c r="I45" i="217"/>
  <c r="I63" i="217"/>
  <c r="I46" i="217"/>
  <c r="I47" i="217"/>
  <c r="I17" i="217"/>
  <c r="I50" i="217"/>
  <c r="I51" i="217"/>
  <c r="I34" i="217"/>
  <c r="I52" i="217"/>
  <c r="I35" i="217"/>
  <c r="I53" i="217"/>
  <c r="I36" i="217"/>
  <c r="I54" i="217"/>
  <c r="I37" i="217"/>
  <c r="I55" i="217"/>
  <c r="I38" i="217"/>
  <c r="I56" i="217"/>
  <c r="I49" i="217"/>
  <c r="I39" i="217"/>
  <c r="I57" i="217"/>
  <c r="I40" i="217"/>
  <c r="I58" i="217"/>
  <c r="I41" i="217"/>
  <c r="I59" i="217"/>
  <c r="I42" i="217"/>
  <c r="I60" i="217"/>
  <c r="I43" i="217"/>
  <c r="I61" i="217"/>
  <c r="I44" i="217"/>
  <c r="I86" i="217"/>
  <c r="I74" i="217"/>
  <c r="I99" i="217"/>
  <c r="I25" i="217"/>
  <c r="I24" i="217"/>
  <c r="I94" i="217"/>
  <c r="I118" i="217"/>
  <c r="I92" i="217"/>
  <c r="I90" i="217"/>
  <c r="I85" i="217"/>
  <c r="I19" i="217"/>
  <c r="I103" i="217"/>
  <c r="I87" i="217"/>
  <c r="I116" i="217"/>
  <c r="I28" i="217"/>
  <c r="I119" i="217"/>
  <c r="I16" i="217"/>
  <c r="I77" i="217"/>
  <c r="I83" i="217"/>
  <c r="I66" i="217"/>
  <c r="I71" i="217"/>
  <c r="I22" i="217"/>
  <c r="I27" i="217"/>
  <c r="I65" i="217"/>
  <c r="I30" i="217"/>
  <c r="I15" i="217"/>
  <c r="I111" i="217"/>
  <c r="I18" i="217"/>
  <c r="I98" i="217"/>
  <c r="I91" i="217"/>
  <c r="I33" i="217"/>
  <c r="I115" i="217"/>
  <c r="I96" i="217"/>
  <c r="I21" i="217"/>
  <c r="I101" i="217"/>
  <c r="I81" i="217"/>
  <c r="I110" i="217"/>
  <c r="I89" i="217"/>
  <c r="I100" i="217"/>
  <c r="I69" i="217"/>
  <c r="I109" i="217"/>
  <c r="I104" i="217"/>
  <c r="I73" i="217"/>
  <c r="I75" i="217"/>
  <c r="I68" i="217"/>
  <c r="I107" i="217"/>
  <c r="I106" i="217"/>
  <c r="I120" i="217"/>
  <c r="I114" i="217"/>
  <c r="I102" i="217"/>
  <c r="I95" i="217"/>
  <c r="I88" i="217"/>
  <c r="I82" i="217"/>
  <c r="I76" i="217"/>
  <c r="I70" i="217"/>
  <c r="I64" i="217"/>
  <c r="I32" i="217"/>
  <c r="I26" i="217"/>
  <c r="I14" i="217"/>
  <c r="I108" i="217"/>
  <c r="I20" i="217"/>
  <c r="I67" i="217"/>
  <c r="I79" i="217"/>
  <c r="I23" i="217"/>
  <c r="I113" i="217"/>
  <c r="I122" i="217"/>
  <c r="I121" i="217"/>
  <c r="I112" i="217"/>
  <c r="I84" i="217"/>
  <c r="I29" i="217"/>
  <c r="I72" i="217"/>
  <c r="I80" i="217"/>
  <c r="I78" i="217"/>
  <c r="I31" i="217"/>
  <c r="I117" i="217"/>
  <c r="I105" i="217"/>
  <c r="H32" i="216"/>
  <c r="F32" i="216"/>
  <c r="C6" i="57" l="1"/>
  <c r="C4" i="57"/>
  <c r="Z16" i="216" l="1"/>
  <c r="Z17" i="216"/>
  <c r="E1071" i="57" l="1"/>
  <c r="E1070" i="57"/>
  <c r="E1069" i="57"/>
  <c r="E1068" i="57"/>
  <c r="E1064" i="57"/>
  <c r="E1063" i="57"/>
  <c r="E1062" i="57"/>
  <c r="E1061" i="57"/>
  <c r="E1057" i="57"/>
  <c r="E1056" i="57"/>
  <c r="E1055" i="57"/>
  <c r="E1054" i="57"/>
  <c r="E1050" i="57"/>
  <c r="E1049" i="57"/>
  <c r="E1048" i="57"/>
  <c r="E1047" i="57"/>
  <c r="E1043" i="57"/>
  <c r="E1042" i="57"/>
  <c r="E1041" i="57"/>
  <c r="E1040" i="57"/>
  <c r="E1036" i="57"/>
  <c r="E1035" i="57"/>
  <c r="E1034" i="57"/>
  <c r="E1033" i="57"/>
  <c r="E1029" i="57"/>
  <c r="E1028" i="57"/>
  <c r="E1027" i="57"/>
  <c r="E1026" i="57"/>
  <c r="E1022" i="57"/>
  <c r="E1021" i="57"/>
  <c r="E1020" i="57"/>
  <c r="E1019" i="57"/>
  <c r="E1015" i="57"/>
  <c r="E1014" i="57"/>
  <c r="E1013" i="57"/>
  <c r="E1012" i="57"/>
  <c r="E1008" i="57"/>
  <c r="E1007" i="57"/>
  <c r="E1006" i="57"/>
  <c r="E1005" i="57"/>
  <c r="E1001" i="57"/>
  <c r="E1000" i="57"/>
  <c r="E999" i="57"/>
  <c r="E998" i="57"/>
  <c r="E994" i="57"/>
  <c r="E993" i="57"/>
  <c r="E992" i="57"/>
  <c r="E991" i="57"/>
  <c r="E987" i="57"/>
  <c r="E986" i="57"/>
  <c r="E985" i="57"/>
  <c r="E984" i="57"/>
  <c r="E983" i="57"/>
  <c r="E979" i="57"/>
  <c r="E978" i="57"/>
  <c r="E977" i="57"/>
  <c r="E976" i="57"/>
  <c r="E975" i="57"/>
  <c r="E971" i="57"/>
  <c r="E970" i="57"/>
  <c r="E969" i="57"/>
  <c r="E968" i="57"/>
  <c r="E967" i="57"/>
  <c r="E963" i="57"/>
  <c r="E962" i="57"/>
  <c r="E960" i="57"/>
  <c r="E959" i="57"/>
  <c r="E955" i="57"/>
  <c r="E954" i="57"/>
  <c r="E953" i="57"/>
  <c r="E949" i="57"/>
  <c r="E948" i="57"/>
  <c r="E947" i="57"/>
  <c r="E943" i="57"/>
  <c r="E942" i="57"/>
  <c r="E941" i="57"/>
  <c r="E937" i="57"/>
  <c r="E936" i="57"/>
  <c r="E935" i="57"/>
  <c r="E934" i="57"/>
  <c r="E933" i="57"/>
  <c r="E932" i="57"/>
  <c r="E931" i="57"/>
  <c r="E930" i="57"/>
  <c r="E929" i="57"/>
  <c r="E925" i="57"/>
  <c r="E924" i="57"/>
  <c r="E920" i="57"/>
  <c r="E919" i="57"/>
  <c r="E918" i="57"/>
  <c r="E917" i="57"/>
  <c r="E916" i="57"/>
  <c r="E912" i="57"/>
  <c r="E911" i="57"/>
  <c r="E910" i="57"/>
  <c r="E909" i="57"/>
  <c r="E908" i="57"/>
  <c r="E904" i="57"/>
  <c r="E903" i="57"/>
  <c r="E902" i="57"/>
  <c r="E901" i="57"/>
  <c r="E897" i="57"/>
  <c r="E896" i="57"/>
  <c r="E895" i="57"/>
  <c r="E894" i="57"/>
  <c r="E893" i="57"/>
  <c r="E889" i="57"/>
  <c r="E888" i="57"/>
  <c r="E887" i="57"/>
  <c r="E886" i="57"/>
  <c r="E885" i="57"/>
  <c r="E881" i="57"/>
  <c r="E880" i="57"/>
  <c r="E879" i="57"/>
  <c r="E878" i="57"/>
  <c r="E877" i="57"/>
  <c r="E873" i="57"/>
  <c r="E872" i="57"/>
  <c r="E871" i="57"/>
  <c r="E870" i="57"/>
  <c r="E869" i="57"/>
  <c r="E865" i="57"/>
  <c r="E864" i="57"/>
  <c r="E863" i="57"/>
  <c r="E859" i="57"/>
  <c r="E858" i="57"/>
  <c r="E857" i="57"/>
  <c r="E856" i="57"/>
  <c r="E855" i="57"/>
  <c r="E851" i="57"/>
  <c r="E850" i="57"/>
  <c r="E849" i="57"/>
  <c r="E848" i="57"/>
  <c r="E847" i="57"/>
  <c r="E843" i="57"/>
  <c r="E842" i="57"/>
  <c r="E841" i="57"/>
  <c r="E837" i="57"/>
  <c r="E836" i="57"/>
  <c r="E835" i="57"/>
  <c r="E831" i="57"/>
  <c r="E830" i="57"/>
  <c r="E829" i="57"/>
  <c r="E825" i="57"/>
  <c r="E824" i="57"/>
  <c r="E823" i="57"/>
  <c r="E819" i="57"/>
  <c r="E818" i="57"/>
  <c r="E817" i="57"/>
  <c r="E816" i="57"/>
  <c r="E815" i="57"/>
  <c r="E814" i="57"/>
  <c r="E813" i="57"/>
  <c r="E812" i="57"/>
  <c r="E811" i="57"/>
  <c r="E810" i="57"/>
  <c r="E806" i="57"/>
  <c r="E805" i="57"/>
  <c r="E804" i="57"/>
  <c r="E803" i="57"/>
  <c r="E802" i="57"/>
  <c r="E801" i="57"/>
  <c r="E800" i="57"/>
  <c r="E799" i="57"/>
  <c r="E798" i="57"/>
  <c r="E797" i="57"/>
  <c r="E793" i="57"/>
  <c r="E792" i="57"/>
  <c r="E791" i="57"/>
  <c r="E790" i="57"/>
  <c r="E789" i="57"/>
  <c r="E788" i="57"/>
  <c r="E787" i="57"/>
  <c r="E786" i="57"/>
  <c r="E785" i="57"/>
  <c r="E784" i="57"/>
  <c r="E780" i="57"/>
  <c r="E779" i="57"/>
  <c r="E778" i="57"/>
  <c r="E777" i="57"/>
  <c r="E776" i="57"/>
  <c r="E775" i="57"/>
  <c r="E774" i="57"/>
  <c r="E773" i="57"/>
  <c r="E772" i="57"/>
  <c r="E771" i="57"/>
  <c r="E770" i="57"/>
  <c r="E769" i="57"/>
  <c r="E768" i="57"/>
  <c r="E767" i="57"/>
  <c r="E766" i="57"/>
  <c r="E762" i="57"/>
  <c r="E761" i="57"/>
  <c r="E760" i="57"/>
  <c r="E759" i="57"/>
  <c r="E758" i="57"/>
  <c r="E757" i="57"/>
  <c r="E756" i="57"/>
  <c r="E755" i="57"/>
  <c r="E754" i="57"/>
  <c r="E753" i="57"/>
  <c r="E752" i="57"/>
  <c r="E751" i="57"/>
  <c r="E750" i="57"/>
  <c r="E749" i="57"/>
  <c r="E748" i="57"/>
  <c r="E744" i="57"/>
  <c r="E743" i="57"/>
  <c r="E742" i="57"/>
  <c r="E741" i="57"/>
  <c r="E740" i="57"/>
  <c r="E739" i="57"/>
  <c r="E738" i="57"/>
  <c r="E737" i="57"/>
  <c r="E736" i="57"/>
  <c r="E735" i="57"/>
  <c r="E734" i="57"/>
  <c r="E733" i="57"/>
  <c r="E732" i="57"/>
  <c r="E731" i="57"/>
  <c r="E730" i="57"/>
  <c r="E726" i="57"/>
  <c r="E725" i="57"/>
  <c r="E724" i="57"/>
  <c r="E723" i="57"/>
  <c r="E722" i="57"/>
  <c r="E721" i="57"/>
  <c r="E720" i="57"/>
  <c r="E719" i="57"/>
  <c r="E718" i="57"/>
  <c r="E717" i="57"/>
  <c r="E716" i="57"/>
  <c r="E715" i="57"/>
  <c r="E714" i="57"/>
  <c r="E713" i="57"/>
  <c r="E712" i="57"/>
  <c r="E708" i="57"/>
  <c r="E707" i="57"/>
  <c r="E706" i="57"/>
  <c r="E705" i="57"/>
  <c r="E704" i="57"/>
  <c r="E703" i="57"/>
  <c r="E702" i="57"/>
  <c r="E701" i="57"/>
  <c r="E700" i="57"/>
  <c r="E699" i="57"/>
  <c r="E698" i="57"/>
  <c r="E697" i="57"/>
  <c r="E696" i="57"/>
  <c r="E695" i="57"/>
  <c r="E694" i="57"/>
  <c r="E693" i="57"/>
  <c r="E689" i="57"/>
  <c r="E688" i="57"/>
  <c r="E687" i="57"/>
  <c r="E686" i="57"/>
  <c r="E685" i="57"/>
  <c r="E684" i="57"/>
  <c r="E683" i="57"/>
  <c r="E682" i="57"/>
  <c r="E681" i="57"/>
  <c r="E680" i="57"/>
  <c r="E679" i="57"/>
  <c r="E678" i="57"/>
  <c r="E677" i="57"/>
  <c r="E676" i="57"/>
  <c r="E675" i="57"/>
  <c r="E671" i="57"/>
  <c r="E670" i="57"/>
  <c r="E669" i="57"/>
  <c r="E668" i="57"/>
  <c r="E667" i="57"/>
  <c r="E666" i="57"/>
  <c r="E665" i="57"/>
  <c r="E664" i="57"/>
  <c r="E663" i="57"/>
  <c r="E662" i="57"/>
  <c r="E661" i="57"/>
  <c r="E660" i="57"/>
  <c r="E659" i="57"/>
  <c r="E658" i="57"/>
  <c r="E657" i="57"/>
  <c r="E653" i="57"/>
  <c r="E652" i="57"/>
  <c r="E651" i="57"/>
  <c r="E650" i="57"/>
  <c r="E649" i="57"/>
  <c r="E648" i="57"/>
  <c r="E647" i="57"/>
  <c r="E646" i="57"/>
  <c r="E645" i="57"/>
  <c r="E644" i="57"/>
  <c r="E643" i="57"/>
  <c r="E642" i="57"/>
  <c r="E641" i="57"/>
  <c r="E640" i="57"/>
  <c r="E639" i="57"/>
  <c r="E635" i="57"/>
  <c r="E634" i="57"/>
  <c r="E633" i="57"/>
  <c r="E632" i="57"/>
  <c r="E631" i="57"/>
  <c r="E630" i="57"/>
  <c r="E629" i="57"/>
  <c r="E628" i="57"/>
  <c r="E627" i="57"/>
  <c r="E626" i="57"/>
  <c r="E625" i="57"/>
  <c r="E624" i="57"/>
  <c r="E623" i="57"/>
  <c r="E622" i="57"/>
  <c r="E621" i="57"/>
  <c r="E617" i="57"/>
  <c r="E616" i="57"/>
  <c r="E615" i="57"/>
  <c r="E614" i="57"/>
  <c r="E613" i="57"/>
  <c r="E612" i="57"/>
  <c r="E611" i="57"/>
  <c r="E610" i="57"/>
  <c r="E609" i="57"/>
  <c r="E608" i="57"/>
  <c r="E607" i="57"/>
  <c r="E606" i="57"/>
  <c r="E605" i="57"/>
  <c r="E604" i="57"/>
  <c r="E603" i="57"/>
  <c r="E599" i="57"/>
  <c r="E598" i="57"/>
  <c r="E597" i="57"/>
  <c r="E596" i="57"/>
  <c r="E595" i="57"/>
  <c r="E594" i="57"/>
  <c r="E593" i="57"/>
  <c r="E592" i="57"/>
  <c r="E591" i="57"/>
  <c r="E590" i="57"/>
  <c r="E589" i="57"/>
  <c r="E588" i="57"/>
  <c r="E587" i="57"/>
  <c r="E586" i="57"/>
  <c r="E585" i="57"/>
  <c r="E584" i="57"/>
  <c r="E580" i="57"/>
  <c r="E579" i="57"/>
  <c r="E578" i="57"/>
  <c r="E577" i="57"/>
  <c r="E576" i="57"/>
  <c r="E575" i="57"/>
  <c r="E574" i="57"/>
  <c r="E573" i="57"/>
  <c r="E572" i="57"/>
  <c r="E571" i="57"/>
  <c r="E570" i="57"/>
  <c r="E569" i="57"/>
  <c r="E568" i="57"/>
  <c r="E567" i="57"/>
  <c r="E566" i="57"/>
  <c r="E562" i="57"/>
  <c r="E561" i="57"/>
  <c r="E560" i="57"/>
  <c r="E559" i="57"/>
  <c r="E558" i="57"/>
  <c r="E557" i="57"/>
  <c r="E556" i="57"/>
  <c r="E555" i="57"/>
  <c r="E554" i="57"/>
  <c r="E553" i="57"/>
  <c r="E552" i="57"/>
  <c r="E551" i="57"/>
  <c r="E550" i="57"/>
  <c r="E546" i="57"/>
  <c r="E545" i="57"/>
  <c r="E544" i="57"/>
  <c r="E543" i="57"/>
  <c r="E542" i="57"/>
  <c r="E541" i="57"/>
  <c r="E540" i="57"/>
  <c r="E539" i="57"/>
  <c r="E538" i="57"/>
  <c r="E537" i="57"/>
  <c r="E536" i="57"/>
  <c r="E535" i="57"/>
  <c r="E534" i="57"/>
  <c r="E530" i="57"/>
  <c r="E529" i="57"/>
  <c r="E528" i="57"/>
  <c r="E527" i="57"/>
  <c r="E526" i="57"/>
  <c r="E525" i="57"/>
  <c r="E524" i="57"/>
  <c r="E523" i="57"/>
  <c r="E522" i="57"/>
  <c r="E521" i="57"/>
  <c r="E520" i="57"/>
  <c r="E519" i="57"/>
  <c r="E518" i="57"/>
  <c r="E514" i="57"/>
  <c r="E513" i="57"/>
  <c r="E512" i="57"/>
  <c r="E511" i="57"/>
  <c r="E510" i="57"/>
  <c r="E509" i="57"/>
  <c r="E508" i="57"/>
  <c r="E507" i="57"/>
  <c r="E506" i="57"/>
  <c r="E505" i="57"/>
  <c r="E504" i="57"/>
  <c r="E503" i="57"/>
  <c r="E502" i="57"/>
  <c r="E498" i="57"/>
  <c r="E497" i="57"/>
  <c r="E496" i="57"/>
  <c r="E495" i="57"/>
  <c r="E494" i="57"/>
  <c r="E493" i="57"/>
  <c r="E492" i="57"/>
  <c r="E491" i="57"/>
  <c r="E490" i="57"/>
  <c r="E489" i="57"/>
  <c r="E488" i="57"/>
  <c r="E487" i="57"/>
  <c r="E486" i="57"/>
  <c r="E485" i="57"/>
  <c r="E481" i="57"/>
  <c r="E480" i="57"/>
  <c r="E479" i="57"/>
  <c r="E478" i="57"/>
  <c r="E477" i="57"/>
  <c r="E476" i="57"/>
  <c r="E475" i="57"/>
  <c r="E474" i="57"/>
  <c r="E473" i="57"/>
  <c r="E472" i="57"/>
  <c r="E471" i="57"/>
  <c r="E470" i="57"/>
  <c r="E469" i="57"/>
  <c r="E465" i="57"/>
  <c r="E464" i="57"/>
  <c r="E463" i="57"/>
  <c r="E462" i="57"/>
  <c r="E461" i="57"/>
  <c r="E460" i="57"/>
  <c r="E459" i="57"/>
  <c r="E458" i="57"/>
  <c r="E457" i="57"/>
  <c r="E456" i="57"/>
  <c r="E455" i="57"/>
  <c r="E454" i="57"/>
  <c r="E453" i="57"/>
  <c r="E452" i="57"/>
  <c r="E451" i="57"/>
  <c r="E447" i="57"/>
  <c r="E446" i="57"/>
  <c r="E445" i="57"/>
  <c r="E444" i="57"/>
  <c r="E443" i="57"/>
  <c r="E442" i="57"/>
  <c r="E441" i="57"/>
  <c r="E440" i="57"/>
  <c r="E439" i="57"/>
  <c r="E438" i="57"/>
  <c r="E437" i="57"/>
  <c r="E436" i="57"/>
  <c r="E435" i="57"/>
  <c r="E434" i="57"/>
  <c r="E433" i="57"/>
  <c r="E429" i="57"/>
  <c r="E428" i="57"/>
  <c r="E427" i="57"/>
  <c r="E426" i="57"/>
  <c r="E425" i="57"/>
  <c r="E424" i="57"/>
  <c r="E423" i="57"/>
  <c r="E422" i="57"/>
  <c r="E421" i="57"/>
  <c r="E420" i="57"/>
  <c r="E419" i="57"/>
  <c r="E418" i="57"/>
  <c r="E417" i="57"/>
  <c r="E416" i="57"/>
  <c r="E415" i="57"/>
  <c r="E411" i="57"/>
  <c r="E410" i="57"/>
  <c r="E409" i="57"/>
  <c r="E408" i="57"/>
  <c r="E407" i="57"/>
  <c r="E406" i="57"/>
  <c r="E405" i="57"/>
  <c r="E404" i="57"/>
  <c r="E403" i="57"/>
  <c r="E402" i="57"/>
  <c r="E401" i="57"/>
  <c r="E400" i="57"/>
  <c r="E399" i="57"/>
  <c r="E398" i="57"/>
  <c r="E397" i="57"/>
  <c r="E393" i="57"/>
  <c r="E392" i="57"/>
  <c r="E391" i="57"/>
  <c r="E390" i="57"/>
  <c r="E389" i="57"/>
  <c r="E388" i="57"/>
  <c r="E387" i="57"/>
  <c r="E386" i="57"/>
  <c r="E385" i="57"/>
  <c r="E384" i="57"/>
  <c r="E383" i="57"/>
  <c r="E382" i="57"/>
  <c r="E381" i="57"/>
  <c r="E380" i="57"/>
  <c r="E379" i="57"/>
  <c r="E378" i="57"/>
  <c r="E374" i="57"/>
  <c r="E373" i="57"/>
  <c r="E372" i="57"/>
  <c r="E371" i="57"/>
  <c r="E370" i="57"/>
  <c r="E369" i="57"/>
  <c r="E368" i="57"/>
  <c r="E367" i="57"/>
  <c r="E366" i="57"/>
  <c r="E365" i="57"/>
  <c r="E364" i="57"/>
  <c r="E363" i="57"/>
  <c r="E362" i="57"/>
  <c r="E361" i="57"/>
  <c r="E360" i="57"/>
  <c r="E356" i="57"/>
  <c r="E355" i="57"/>
  <c r="E354" i="57"/>
  <c r="E353" i="57"/>
  <c r="E352" i="57"/>
  <c r="E351" i="57"/>
  <c r="E350" i="57"/>
  <c r="E349" i="57"/>
  <c r="E348" i="57"/>
  <c r="E347" i="57"/>
  <c r="E346" i="57"/>
  <c r="E345" i="57"/>
  <c r="E344" i="57"/>
  <c r="E343" i="57"/>
  <c r="E342" i="57"/>
  <c r="E338" i="57"/>
  <c r="E337" i="57"/>
  <c r="E336" i="57"/>
  <c r="E335" i="57"/>
  <c r="E334" i="57"/>
  <c r="E333" i="57"/>
  <c r="E332" i="57"/>
  <c r="E331" i="57"/>
  <c r="E330" i="57"/>
  <c r="E329" i="57"/>
  <c r="E328" i="57"/>
  <c r="E327" i="57"/>
  <c r="E326" i="57"/>
  <c r="E325" i="57"/>
  <c r="E324" i="57"/>
  <c r="E320" i="57"/>
  <c r="E319" i="57"/>
  <c r="E318" i="57"/>
  <c r="E317" i="57"/>
  <c r="E316" i="57"/>
  <c r="E315" i="57"/>
  <c r="E314" i="57"/>
  <c r="E313" i="57"/>
  <c r="E312" i="57"/>
  <c r="E311" i="57"/>
  <c r="E310" i="57"/>
  <c r="E309" i="57"/>
  <c r="E308" i="57"/>
  <c r="E307" i="57"/>
  <c r="E306" i="57"/>
  <c r="E302" i="57"/>
  <c r="E301" i="57"/>
  <c r="E300" i="57"/>
  <c r="E299" i="57"/>
  <c r="E298" i="57"/>
  <c r="E297" i="57"/>
  <c r="E296" i="57"/>
  <c r="E295" i="57"/>
  <c r="E294" i="57"/>
  <c r="E293" i="57"/>
  <c r="E292" i="57"/>
  <c r="E291" i="57"/>
  <c r="E290" i="57"/>
  <c r="E289" i="57"/>
  <c r="E288" i="57"/>
  <c r="E284" i="57"/>
  <c r="E283" i="57"/>
  <c r="E282" i="57"/>
  <c r="E281" i="57"/>
  <c r="E280" i="57"/>
  <c r="E279" i="57"/>
  <c r="E278" i="57"/>
  <c r="E277" i="57"/>
  <c r="E276" i="57"/>
  <c r="E275" i="57"/>
  <c r="E274" i="57"/>
  <c r="E273" i="57"/>
  <c r="E272" i="57"/>
  <c r="E271" i="57"/>
  <c r="E270" i="57"/>
  <c r="E269" i="57"/>
  <c r="E265" i="57"/>
  <c r="E264" i="57"/>
  <c r="E263" i="57"/>
  <c r="E262" i="57"/>
  <c r="E261" i="57"/>
  <c r="E260" i="57"/>
  <c r="E259" i="57"/>
  <c r="E258" i="57"/>
  <c r="E257" i="57"/>
  <c r="E256" i="57"/>
  <c r="E255" i="57"/>
  <c r="E254" i="57"/>
  <c r="E253" i="57"/>
  <c r="E252" i="57"/>
  <c r="E251" i="57"/>
  <c r="E247" i="57"/>
  <c r="E246" i="57"/>
  <c r="E245" i="57"/>
  <c r="E244" i="57"/>
  <c r="E243" i="57"/>
  <c r="E242" i="57"/>
  <c r="E241" i="57"/>
  <c r="E240" i="57"/>
  <c r="E239" i="57"/>
  <c r="E238" i="57"/>
  <c r="E237" i="57"/>
  <c r="E236" i="57"/>
  <c r="E235" i="57"/>
  <c r="E231" i="57"/>
  <c r="E230" i="57"/>
  <c r="E229" i="57"/>
  <c r="E228" i="57"/>
  <c r="E227" i="57"/>
  <c r="E226" i="57"/>
  <c r="E225" i="57"/>
  <c r="E224" i="57"/>
  <c r="E223" i="57"/>
  <c r="E222" i="57"/>
  <c r="E221" i="57"/>
  <c r="E220" i="57"/>
  <c r="E219" i="57"/>
  <c r="E215" i="57"/>
  <c r="E214" i="57"/>
  <c r="E213" i="57"/>
  <c r="E212" i="57"/>
  <c r="E211" i="57"/>
  <c r="E210" i="57"/>
  <c r="E209" i="57"/>
  <c r="E208" i="57"/>
  <c r="E207" i="57"/>
  <c r="E206" i="57"/>
  <c r="E205" i="57"/>
  <c r="E204" i="57"/>
  <c r="E203" i="57"/>
  <c r="E199" i="57"/>
  <c r="E198" i="57"/>
  <c r="E197" i="57"/>
  <c r="E196" i="57"/>
  <c r="E195" i="57"/>
  <c r="E194" i="57"/>
  <c r="E193" i="57"/>
  <c r="E192" i="57"/>
  <c r="E191" i="57"/>
  <c r="E190" i="57"/>
  <c r="E189" i="57"/>
  <c r="E188" i="57"/>
  <c r="E187" i="57"/>
  <c r="E183" i="57"/>
  <c r="E182" i="57"/>
  <c r="E181" i="57"/>
  <c r="E180" i="57"/>
  <c r="E179" i="57"/>
  <c r="E178" i="57"/>
  <c r="E177" i="57"/>
  <c r="E176" i="57"/>
  <c r="E175" i="57"/>
  <c r="E174" i="57"/>
  <c r="E173" i="57"/>
  <c r="E172" i="57"/>
  <c r="E171" i="57"/>
  <c r="E170" i="57"/>
  <c r="E166" i="57"/>
  <c r="E165" i="57"/>
  <c r="E164" i="57"/>
  <c r="E163" i="57"/>
  <c r="E162" i="57"/>
  <c r="E161" i="57"/>
  <c r="E160" i="57"/>
  <c r="E159" i="57"/>
  <c r="E158" i="57"/>
  <c r="E157" i="57"/>
  <c r="E156" i="57"/>
  <c r="E155" i="57"/>
  <c r="E154" i="57"/>
  <c r="E150" i="57"/>
  <c r="E149" i="57"/>
  <c r="E148" i="57"/>
  <c r="E147" i="57"/>
  <c r="E146" i="57"/>
  <c r="E145" i="57"/>
  <c r="E144" i="57"/>
  <c r="E143" i="57"/>
  <c r="E139" i="57"/>
  <c r="E138" i="57"/>
  <c r="E137" i="57"/>
  <c r="E136" i="57"/>
  <c r="E135" i="57"/>
  <c r="E134" i="57"/>
  <c r="E133" i="57"/>
  <c r="E132" i="57"/>
  <c r="E128" i="57"/>
  <c r="E127" i="57"/>
  <c r="E126" i="57"/>
  <c r="E125" i="57"/>
  <c r="E124" i="57"/>
  <c r="E123" i="57"/>
  <c r="E122" i="57"/>
  <c r="E121" i="57"/>
  <c r="E117" i="57"/>
  <c r="E116" i="57"/>
  <c r="E115" i="57"/>
  <c r="E114" i="57"/>
  <c r="E113" i="57"/>
  <c r="E112" i="57"/>
  <c r="E111" i="57"/>
  <c r="E110" i="57"/>
  <c r="E109" i="57"/>
  <c r="E105" i="57"/>
  <c r="E104" i="57"/>
  <c r="E103" i="57"/>
  <c r="E102" i="57"/>
  <c r="E101" i="57"/>
  <c r="E100" i="57"/>
  <c r="E99" i="57"/>
  <c r="E98" i="57"/>
  <c r="E97" i="57"/>
  <c r="E93" i="57"/>
  <c r="E92" i="57"/>
  <c r="E91" i="57"/>
  <c r="E90" i="57"/>
  <c r="E89" i="57"/>
  <c r="E88" i="57"/>
  <c r="E87" i="57"/>
  <c r="E86" i="57"/>
  <c r="E71" i="57"/>
  <c r="E70" i="57"/>
  <c r="E69" i="57"/>
  <c r="E68" i="57"/>
  <c r="E67" i="57"/>
  <c r="E66" i="57"/>
  <c r="E65" i="57"/>
  <c r="E61" i="57"/>
  <c r="E60" i="57"/>
  <c r="E59" i="57"/>
  <c r="E58" i="57"/>
  <c r="E57" i="57"/>
  <c r="E56" i="57"/>
  <c r="E55" i="57"/>
  <c r="E51" i="57"/>
  <c r="E50" i="57"/>
  <c r="E49" i="57"/>
  <c r="E48" i="57"/>
  <c r="E47" i="57"/>
  <c r="E46" i="57"/>
  <c r="E45" i="57"/>
  <c r="E41" i="57"/>
  <c r="E40" i="57"/>
  <c r="E39" i="57"/>
  <c r="E38" i="57"/>
  <c r="E37" i="57"/>
  <c r="E36" i="57"/>
  <c r="E35" i="57"/>
  <c r="E34" i="57"/>
  <c r="E30" i="57"/>
  <c r="E29" i="57"/>
  <c r="E28" i="57"/>
  <c r="E27" i="57"/>
  <c r="E26" i="57"/>
  <c r="E25" i="57"/>
  <c r="E24" i="57"/>
  <c r="E23" i="57"/>
  <c r="E19" i="57"/>
  <c r="E18" i="57"/>
  <c r="E17" i="57"/>
  <c r="E16" i="57"/>
  <c r="E15" i="57"/>
  <c r="E14" i="57"/>
  <c r="E13" i="57"/>
  <c r="Y17" i="216" l="1"/>
  <c r="Y16" i="216"/>
  <c r="AC125" i="216" l="1"/>
  <c r="AC134" i="216"/>
  <c r="AC110" i="216"/>
  <c r="AC48" i="216"/>
  <c r="AC32" i="216"/>
  <c r="AC17" i="216"/>
  <c r="AC16" i="216"/>
  <c r="AB17" i="216"/>
  <c r="AB16" i="216"/>
  <c r="AD8" i="216"/>
  <c r="AD10" i="216"/>
  <c r="AD11" i="216"/>
  <c r="AD12" i="216"/>
  <c r="AD13" i="216"/>
  <c r="AD14" i="216"/>
  <c r="AD15" i="216"/>
  <c r="AD16" i="216"/>
  <c r="AD17" i="216"/>
  <c r="AD18" i="216"/>
  <c r="AD19" i="216"/>
  <c r="AD20" i="216"/>
  <c r="AD21" i="216"/>
  <c r="AD22" i="216"/>
  <c r="AD23" i="216"/>
  <c r="AD24" i="216"/>
  <c r="AD25" i="216"/>
  <c r="AD26" i="216"/>
  <c r="AE26" i="216"/>
  <c r="AD27" i="216"/>
  <c r="AE27" i="216"/>
  <c r="AD28" i="216"/>
  <c r="AE28" i="216"/>
  <c r="AD29" i="216"/>
  <c r="AD30" i="216"/>
  <c r="AE30" i="216"/>
  <c r="AD31" i="216"/>
  <c r="AE31" i="216"/>
  <c r="AD32" i="216"/>
  <c r="AD36" i="216"/>
  <c r="AD37" i="216"/>
  <c r="AD38" i="216"/>
  <c r="AD39" i="216"/>
  <c r="AD40" i="216"/>
  <c r="AE40" i="216"/>
  <c r="AD41" i="216"/>
  <c r="AE41" i="216"/>
  <c r="AD42" i="216"/>
  <c r="AD43" i="216"/>
  <c r="AD44" i="216"/>
  <c r="AE44" i="216"/>
  <c r="AD45" i="216"/>
  <c r="AE45" i="216"/>
  <c r="AD46" i="216"/>
  <c r="AD47" i="216"/>
  <c r="AD48" i="216"/>
  <c r="AD49" i="216"/>
  <c r="AD50" i="216"/>
  <c r="AE50" i="216"/>
  <c r="AD51" i="216"/>
  <c r="AD52" i="216"/>
  <c r="AE52" i="216"/>
  <c r="AD53" i="216"/>
  <c r="AE53" i="216"/>
  <c r="AD54" i="216"/>
  <c r="AE54" i="216"/>
  <c r="AD55" i="216"/>
  <c r="AE55" i="216"/>
  <c r="AD56" i="216"/>
  <c r="AD57" i="216"/>
  <c r="AE57" i="216"/>
  <c r="AD58" i="216"/>
  <c r="AE58" i="216"/>
  <c r="AD59" i="216"/>
  <c r="AE59" i="216"/>
  <c r="AD60" i="216"/>
  <c r="AE60" i="216"/>
  <c r="AD61" i="216"/>
  <c r="AE61" i="216"/>
  <c r="AD62" i="216"/>
  <c r="AE62" i="216"/>
  <c r="AD63" i="216"/>
  <c r="AE63" i="216"/>
  <c r="AD64" i="216"/>
  <c r="AE64" i="216"/>
  <c r="AD65" i="216"/>
  <c r="AE65" i="216"/>
  <c r="AD66" i="216"/>
  <c r="AD67" i="216"/>
  <c r="AE67" i="216"/>
  <c r="AD68" i="216"/>
  <c r="AE68" i="216"/>
  <c r="AD69" i="216"/>
  <c r="AE69" i="216"/>
  <c r="AD71" i="216"/>
  <c r="AD72" i="216"/>
  <c r="AE72" i="216"/>
  <c r="AD73" i="216"/>
  <c r="AE73" i="216"/>
  <c r="AD74" i="216"/>
  <c r="AE74" i="216"/>
  <c r="AD75" i="216"/>
  <c r="AE75" i="216"/>
  <c r="AD76" i="216"/>
  <c r="AE76" i="216"/>
  <c r="AD77" i="216"/>
  <c r="AD78" i="216"/>
  <c r="AD79" i="216"/>
  <c r="AE79" i="216"/>
  <c r="AD80" i="216"/>
  <c r="AE80" i="216"/>
  <c r="AD81" i="216"/>
  <c r="AE81" i="216"/>
  <c r="AD82" i="216"/>
  <c r="AD83" i="216"/>
  <c r="AD84" i="216"/>
  <c r="AD85" i="216"/>
  <c r="AD86" i="216"/>
  <c r="AD87" i="216"/>
  <c r="AD88" i="216"/>
  <c r="AD89" i="216"/>
  <c r="AE89" i="216"/>
  <c r="AD90" i="216"/>
  <c r="AE90" i="216"/>
  <c r="AD91" i="216"/>
  <c r="AE91" i="216"/>
  <c r="AD92" i="216"/>
  <c r="AE92" i="216"/>
  <c r="AD93" i="216"/>
  <c r="AE93" i="216"/>
  <c r="AD94" i="216"/>
  <c r="AD95" i="216"/>
  <c r="AE95" i="216"/>
  <c r="AD96" i="216"/>
  <c r="AE96" i="216"/>
  <c r="AD97" i="216"/>
  <c r="AE97" i="216"/>
  <c r="AD98" i="216"/>
  <c r="AE98" i="216"/>
  <c r="AD99" i="216"/>
  <c r="AE99" i="216"/>
  <c r="AD100" i="216"/>
  <c r="AD101" i="216"/>
  <c r="AD102" i="216"/>
  <c r="AD103" i="216"/>
  <c r="AD111" i="216"/>
  <c r="AD112" i="216"/>
  <c r="AD113" i="216"/>
  <c r="AD114" i="216"/>
  <c r="AD115" i="216"/>
  <c r="AD116" i="216"/>
  <c r="AD117" i="216"/>
  <c r="AD118" i="216"/>
  <c r="AD119" i="216"/>
  <c r="AD120" i="216"/>
  <c r="AD121" i="216"/>
  <c r="AD122" i="216"/>
  <c r="AD123" i="216"/>
  <c r="AD124" i="216"/>
  <c r="AD125" i="216"/>
  <c r="AD126" i="216"/>
  <c r="AD127" i="216"/>
  <c r="AD128" i="216"/>
  <c r="AD129" i="216"/>
  <c r="AD130" i="216"/>
  <c r="AD131" i="216"/>
  <c r="AD132" i="216"/>
  <c r="AD133" i="216"/>
  <c r="AD134" i="216"/>
  <c r="AD135" i="216"/>
  <c r="AD136" i="216"/>
  <c r="AD137" i="216"/>
  <c r="AD138" i="216"/>
  <c r="AD139" i="216"/>
  <c r="AD140" i="216"/>
  <c r="AD141" i="216"/>
  <c r="AA16" i="216" l="1"/>
  <c r="AA17" i="216"/>
  <c r="H40" i="216" l="1"/>
  <c r="AC40" i="216" s="1"/>
  <c r="H41" i="216"/>
  <c r="AC41" i="216" s="1"/>
  <c r="H42" i="216"/>
  <c r="AC42" i="216" s="1"/>
  <c r="H43" i="216"/>
  <c r="AC43" i="216" s="1"/>
  <c r="H44" i="216"/>
  <c r="AC44" i="216" s="1"/>
  <c r="H45" i="216"/>
  <c r="AC45" i="216" s="1"/>
  <c r="H47" i="216"/>
  <c r="AC47" i="216" s="1"/>
  <c r="N76" i="2"/>
  <c r="K1072" i="57"/>
  <c r="J1072" i="57"/>
  <c r="K1065" i="57"/>
  <c r="J1065" i="57"/>
  <c r="K1058" i="57"/>
  <c r="J1058" i="57"/>
  <c r="K1051" i="57"/>
  <c r="J1051" i="57"/>
  <c r="K1044" i="57"/>
  <c r="J1044" i="57"/>
  <c r="K1037" i="57"/>
  <c r="J1037" i="57"/>
  <c r="K1030" i="57"/>
  <c r="J1030" i="57"/>
  <c r="K1023" i="57"/>
  <c r="J1023" i="57"/>
  <c r="K1016" i="57"/>
  <c r="J1016" i="57"/>
  <c r="K1009" i="57"/>
  <c r="J1009" i="57"/>
  <c r="K1002" i="57"/>
  <c r="J1002" i="57"/>
  <c r="K995" i="57"/>
  <c r="J995" i="57"/>
  <c r="K988" i="57"/>
  <c r="J988" i="57"/>
  <c r="K980" i="57"/>
  <c r="J980" i="57"/>
  <c r="K972" i="57"/>
  <c r="J972" i="57"/>
  <c r="K964" i="57"/>
  <c r="J964" i="57"/>
  <c r="J956" i="57"/>
  <c r="K956" i="57"/>
  <c r="K950" i="57"/>
  <c r="J950" i="57"/>
  <c r="K944" i="57"/>
  <c r="J944" i="57"/>
  <c r="K938" i="57"/>
  <c r="J938" i="57"/>
  <c r="K926" i="57"/>
  <c r="J926" i="57"/>
  <c r="K921" i="57"/>
  <c r="J921" i="57" l="1"/>
  <c r="C97" i="218" l="1"/>
  <c r="J97" i="218"/>
  <c r="K97" i="218"/>
  <c r="C78" i="218"/>
  <c r="J78" i="218"/>
  <c r="K78" i="218"/>
  <c r="C79" i="218"/>
  <c r="J79" i="218"/>
  <c r="K79" i="218"/>
  <c r="C80" i="218"/>
  <c r="J80" i="218"/>
  <c r="K80" i="218"/>
  <c r="C81" i="218"/>
  <c r="J81" i="218"/>
  <c r="K81" i="218"/>
  <c r="C82" i="218"/>
  <c r="J82" i="218"/>
  <c r="K82" i="218"/>
  <c r="C83" i="218"/>
  <c r="J83" i="218"/>
  <c r="K83" i="218"/>
  <c r="C84" i="218"/>
  <c r="J84" i="218"/>
  <c r="K84" i="218"/>
  <c r="C85" i="218"/>
  <c r="J85" i="218"/>
  <c r="K85" i="218"/>
  <c r="C86" i="218"/>
  <c r="D86" i="218"/>
  <c r="J86" i="218"/>
  <c r="K86" i="218"/>
  <c r="C87" i="218"/>
  <c r="J87" i="218"/>
  <c r="K87" i="218"/>
  <c r="C88" i="218"/>
  <c r="J88" i="218"/>
  <c r="K88" i="218"/>
  <c r="C89" i="218"/>
  <c r="J89" i="218"/>
  <c r="K89" i="218"/>
  <c r="C90" i="218"/>
  <c r="J90" i="218"/>
  <c r="K90" i="218"/>
  <c r="C91" i="218"/>
  <c r="J91" i="218"/>
  <c r="K91" i="218"/>
  <c r="C92" i="218"/>
  <c r="J92" i="218"/>
  <c r="K92" i="218"/>
  <c r="C93" i="218"/>
  <c r="J93" i="218"/>
  <c r="K93" i="218"/>
  <c r="C94" i="218"/>
  <c r="J94" i="218"/>
  <c r="K94" i="218"/>
  <c r="C95" i="218"/>
  <c r="J95" i="218"/>
  <c r="K95" i="218"/>
  <c r="C96" i="218"/>
  <c r="D96" i="218"/>
  <c r="J96" i="218"/>
  <c r="K96" i="218"/>
  <c r="C77" i="218"/>
  <c r="J77" i="218"/>
  <c r="K77" i="218"/>
  <c r="K76" i="218"/>
  <c r="J76" i="218"/>
  <c r="C76" i="218"/>
  <c r="K1075" i="57"/>
  <c r="J1075" i="57"/>
  <c r="D1072" i="57"/>
  <c r="D97" i="218" s="1"/>
  <c r="E1075" i="57"/>
  <c r="C1075" i="57"/>
  <c r="K1071" i="57"/>
  <c r="J1071" i="57"/>
  <c r="K1070" i="57"/>
  <c r="J1070" i="57"/>
  <c r="K1069" i="57"/>
  <c r="J1069" i="57"/>
  <c r="K1068" i="57"/>
  <c r="J1068" i="57"/>
  <c r="K1064" i="57"/>
  <c r="J1064" i="57"/>
  <c r="K1063" i="57"/>
  <c r="J1063" i="57"/>
  <c r="K1062" i="57"/>
  <c r="J1062" i="57"/>
  <c r="K1061" i="57"/>
  <c r="J1061" i="57"/>
  <c r="C1071" i="57"/>
  <c r="C1070" i="57"/>
  <c r="C1069" i="57"/>
  <c r="C1068" i="57"/>
  <c r="D1065" i="57"/>
  <c r="C1063" i="57"/>
  <c r="C1064" i="57"/>
  <c r="C1062" i="57"/>
  <c r="C1061" i="57"/>
  <c r="D1058" i="57"/>
  <c r="D95" i="218" s="1"/>
  <c r="K1057" i="57"/>
  <c r="J1057" i="57"/>
  <c r="K1056" i="57"/>
  <c r="J1056" i="57"/>
  <c r="K1055" i="57"/>
  <c r="J1055" i="57"/>
  <c r="K1054" i="57"/>
  <c r="J1054" i="57"/>
  <c r="C1057" i="57"/>
  <c r="C1056" i="57"/>
  <c r="C1055" i="57"/>
  <c r="C1054" i="57"/>
  <c r="D1051" i="57"/>
  <c r="D94" i="218" s="1"/>
  <c r="K1050" i="57"/>
  <c r="J1050" i="57"/>
  <c r="K1049" i="57"/>
  <c r="J1049" i="57"/>
  <c r="K1048" i="57"/>
  <c r="J1048" i="57"/>
  <c r="K1047" i="57"/>
  <c r="J1047" i="57"/>
  <c r="C1050" i="57"/>
  <c r="C1049" i="57"/>
  <c r="C1048" i="57"/>
  <c r="C1047" i="57"/>
  <c r="D1044" i="57"/>
  <c r="D93" i="218" s="1"/>
  <c r="K1043" i="57"/>
  <c r="J1043" i="57"/>
  <c r="K1042" i="57"/>
  <c r="J1042" i="57"/>
  <c r="K1041" i="57"/>
  <c r="J1041" i="57"/>
  <c r="K1040" i="57"/>
  <c r="J1040" i="57"/>
  <c r="C1043" i="57"/>
  <c r="C1042" i="57"/>
  <c r="C1041" i="57"/>
  <c r="C1040" i="57"/>
  <c r="D1037" i="57"/>
  <c r="D92" i="218" s="1"/>
  <c r="K1036" i="57"/>
  <c r="J1036" i="57"/>
  <c r="K1035" i="57"/>
  <c r="J1035" i="57"/>
  <c r="K1034" i="57"/>
  <c r="J1034" i="57"/>
  <c r="K1033" i="57"/>
  <c r="J1033" i="57"/>
  <c r="C1036" i="57"/>
  <c r="C1035" i="57"/>
  <c r="C1034" i="57"/>
  <c r="C1033" i="57"/>
  <c r="D1030" i="57"/>
  <c r="D91" i="218" s="1"/>
  <c r="K1029" i="57"/>
  <c r="J1029" i="57"/>
  <c r="K1028" i="57"/>
  <c r="J1028" i="57"/>
  <c r="K1027" i="57"/>
  <c r="J1027" i="57"/>
  <c r="K1026" i="57"/>
  <c r="J1026" i="57"/>
  <c r="C1029" i="57"/>
  <c r="C1028" i="57"/>
  <c r="C1027" i="57"/>
  <c r="C1026" i="57"/>
  <c r="D1023" i="57"/>
  <c r="D90" i="218" s="1"/>
  <c r="K1022" i="57"/>
  <c r="J1022" i="57"/>
  <c r="K1021" i="57"/>
  <c r="J1021" i="57"/>
  <c r="K1020" i="57"/>
  <c r="J1020" i="57"/>
  <c r="K1019" i="57"/>
  <c r="J1019" i="57"/>
  <c r="C1022" i="57"/>
  <c r="C1021" i="57"/>
  <c r="C1020" i="57"/>
  <c r="C1019" i="57"/>
  <c r="D1016" i="57"/>
  <c r="D89" i="218" s="1"/>
  <c r="K1015" i="57"/>
  <c r="J1015" i="57"/>
  <c r="K1014" i="57"/>
  <c r="J1014" i="57"/>
  <c r="K1013" i="57"/>
  <c r="J1013" i="57"/>
  <c r="K1012" i="57"/>
  <c r="J1012" i="57"/>
  <c r="C1015" i="57"/>
  <c r="C1014" i="57"/>
  <c r="C1013" i="57"/>
  <c r="C1012" i="57"/>
  <c r="D1009" i="57"/>
  <c r="D88" i="218" s="1"/>
  <c r="K1008" i="57"/>
  <c r="J1008" i="57"/>
  <c r="K1007" i="57"/>
  <c r="J1007" i="57"/>
  <c r="K1006" i="57"/>
  <c r="J1006" i="57"/>
  <c r="K1005" i="57"/>
  <c r="J1005" i="57"/>
  <c r="C1008" i="57"/>
  <c r="C1007" i="57"/>
  <c r="C1006" i="57"/>
  <c r="C1005" i="57"/>
  <c r="D1002" i="57"/>
  <c r="D87" i="218" s="1"/>
  <c r="K1001" i="57"/>
  <c r="J1001" i="57"/>
  <c r="K1000" i="57"/>
  <c r="J1000" i="57"/>
  <c r="K999" i="57"/>
  <c r="J999" i="57"/>
  <c r="K998" i="57"/>
  <c r="J998" i="57"/>
  <c r="C1001" i="57"/>
  <c r="C1000" i="57"/>
  <c r="C999" i="57"/>
  <c r="C998" i="57"/>
  <c r="D995" i="57"/>
  <c r="K994" i="57"/>
  <c r="J994" i="57"/>
  <c r="K993" i="57"/>
  <c r="J993" i="57"/>
  <c r="K992" i="57"/>
  <c r="J992" i="57"/>
  <c r="K991" i="57"/>
  <c r="J991" i="57"/>
  <c r="C994" i="57"/>
  <c r="C993" i="57"/>
  <c r="C992" i="57"/>
  <c r="C991" i="57"/>
  <c r="D988" i="57"/>
  <c r="D85" i="218" s="1"/>
  <c r="K987" i="57"/>
  <c r="J987" i="57"/>
  <c r="K986" i="57"/>
  <c r="J986" i="57"/>
  <c r="K985" i="57"/>
  <c r="J985" i="57"/>
  <c r="K984" i="57"/>
  <c r="J984" i="57"/>
  <c r="K983" i="57"/>
  <c r="J983" i="57"/>
  <c r="K979" i="57"/>
  <c r="J979" i="57"/>
  <c r="K978" i="57"/>
  <c r="J978" i="57"/>
  <c r="K977" i="57"/>
  <c r="J977" i="57"/>
  <c r="K976" i="57"/>
  <c r="J976" i="57"/>
  <c r="K975" i="57"/>
  <c r="J975" i="57"/>
  <c r="C987" i="57"/>
  <c r="C986" i="57"/>
  <c r="C985" i="57"/>
  <c r="C984" i="57"/>
  <c r="C983" i="57"/>
  <c r="D980" i="57"/>
  <c r="D84" i="218" s="1"/>
  <c r="K971" i="57"/>
  <c r="J971" i="57"/>
  <c r="K970" i="57"/>
  <c r="J970" i="57"/>
  <c r="K969" i="57"/>
  <c r="J969" i="57"/>
  <c r="K968" i="57"/>
  <c r="J968" i="57"/>
  <c r="K967" i="57"/>
  <c r="J967" i="57"/>
  <c r="C979" i="57"/>
  <c r="C978" i="57"/>
  <c r="C977" i="57"/>
  <c r="F976" i="57"/>
  <c r="G976" i="57" s="1"/>
  <c r="C976" i="57"/>
  <c r="C975" i="57"/>
  <c r="D972" i="57"/>
  <c r="D83" i="218" s="1"/>
  <c r="C969" i="57"/>
  <c r="C971" i="57"/>
  <c r="C970" i="57"/>
  <c r="F968" i="57"/>
  <c r="G968" i="57" s="1"/>
  <c r="C968" i="57"/>
  <c r="C967" i="57"/>
  <c r="D964" i="57"/>
  <c r="D82" i="218" s="1"/>
  <c r="K963" i="57"/>
  <c r="J963" i="57"/>
  <c r="K962" i="57"/>
  <c r="J962" i="57"/>
  <c r="K961" i="57"/>
  <c r="J961" i="57"/>
  <c r="K960" i="57"/>
  <c r="J960" i="57"/>
  <c r="K959" i="57"/>
  <c r="J959" i="57"/>
  <c r="L113" i="1"/>
  <c r="N113" i="1" s="1"/>
  <c r="C960" i="57"/>
  <c r="I157" i="1"/>
  <c r="L157" i="1"/>
  <c r="N157" i="1"/>
  <c r="L137" i="1"/>
  <c r="N137" i="1" s="1"/>
  <c r="C963" i="57"/>
  <c r="C962" i="57"/>
  <c r="C959" i="57"/>
  <c r="D956" i="57"/>
  <c r="D81" i="218" s="1"/>
  <c r="F998" i="57" l="1"/>
  <c r="G998" i="57" s="1"/>
  <c r="L998" i="57"/>
  <c r="L984" i="57"/>
  <c r="L1057" i="57"/>
  <c r="L1068" i="57"/>
  <c r="L1048" i="57"/>
  <c r="L1006" i="57"/>
  <c r="L1036" i="57"/>
  <c r="L1064" i="57"/>
  <c r="L961" i="57"/>
  <c r="L1019" i="57"/>
  <c r="L1069" i="57"/>
  <c r="L1041" i="57"/>
  <c r="L1056" i="57"/>
  <c r="L999" i="57"/>
  <c r="L1014" i="57"/>
  <c r="L1029" i="57"/>
  <c r="L968" i="57"/>
  <c r="L991" i="57"/>
  <c r="L1001" i="57"/>
  <c r="L1040" i="57"/>
  <c r="L1055" i="57"/>
  <c r="L1007" i="57"/>
  <c r="L1022" i="57"/>
  <c r="L1062" i="57"/>
  <c r="L1071" i="57"/>
  <c r="L1008" i="57"/>
  <c r="F1005" i="57"/>
  <c r="G1005" i="57" s="1"/>
  <c r="L960" i="57"/>
  <c r="L1026" i="57"/>
  <c r="F991" i="57"/>
  <c r="G991" i="57" s="1"/>
  <c r="F1019" i="57"/>
  <c r="G1019" i="57" s="1"/>
  <c r="F984" i="57"/>
  <c r="G984" i="57" s="1"/>
  <c r="L1021" i="57"/>
  <c r="L1049" i="57"/>
  <c r="F1012" i="57"/>
  <c r="G1012" i="57" s="1"/>
  <c r="L1075" i="57"/>
  <c r="L1035" i="57"/>
  <c r="L992" i="57"/>
  <c r="L1054" i="57"/>
  <c r="L994" i="57"/>
  <c r="L976" i="57"/>
  <c r="L985" i="57"/>
  <c r="L1020" i="57"/>
  <c r="L969" i="57"/>
  <c r="L1043" i="57"/>
  <c r="L970" i="57"/>
  <c r="L977" i="57"/>
  <c r="L986" i="57"/>
  <c r="L1012" i="57"/>
  <c r="L971" i="57"/>
  <c r="L1005" i="57"/>
  <c r="L1013" i="57"/>
  <c r="L1028" i="57"/>
  <c r="L1047" i="57"/>
  <c r="L962" i="57"/>
  <c r="L1015" i="57"/>
  <c r="L1033" i="57"/>
  <c r="L1034" i="57"/>
  <c r="L1050" i="57"/>
  <c r="L1061" i="57"/>
  <c r="L1042" i="57"/>
  <c r="L1027" i="57"/>
  <c r="L1000" i="57"/>
  <c r="L983" i="57"/>
  <c r="L975" i="57"/>
  <c r="L963" i="57"/>
  <c r="L993" i="57"/>
  <c r="L987" i="57"/>
  <c r="L978" i="57"/>
  <c r="L979" i="57"/>
  <c r="L967" i="57"/>
  <c r="L959" i="57"/>
  <c r="F960" i="57"/>
  <c r="G960" i="57" s="1"/>
  <c r="K955" i="57" l="1"/>
  <c r="J955" i="57"/>
  <c r="K954" i="57"/>
  <c r="J954" i="57"/>
  <c r="K953" i="57"/>
  <c r="J953" i="57"/>
  <c r="K949" i="57"/>
  <c r="J949" i="57"/>
  <c r="K948" i="57"/>
  <c r="J948" i="57"/>
  <c r="L948" i="57" s="1"/>
  <c r="K947" i="57"/>
  <c r="J947" i="57"/>
  <c r="C955" i="57"/>
  <c r="C954" i="57"/>
  <c r="C953" i="57"/>
  <c r="D950" i="57"/>
  <c r="D80" i="218" s="1"/>
  <c r="C949" i="57"/>
  <c r="C948" i="57"/>
  <c r="C947" i="57"/>
  <c r="D944" i="57"/>
  <c r="D79" i="218" s="1"/>
  <c r="K943" i="57"/>
  <c r="J943" i="57"/>
  <c r="K942" i="57"/>
  <c r="J942" i="57"/>
  <c r="K941" i="57"/>
  <c r="J941" i="57"/>
  <c r="C942" i="57"/>
  <c r="C943" i="57"/>
  <c r="C941" i="57"/>
  <c r="K925" i="57"/>
  <c r="J925" i="57"/>
  <c r="C925" i="57"/>
  <c r="D938" i="57"/>
  <c r="D78" i="218" s="1"/>
  <c r="I85" i="2"/>
  <c r="I88" i="2"/>
  <c r="K95" i="2"/>
  <c r="L95" i="2" s="1"/>
  <c r="J95" i="2"/>
  <c r="J88" i="2" s="1"/>
  <c r="J87" i="2" s="1"/>
  <c r="J85" i="2" s="1"/>
  <c r="E95" i="2"/>
  <c r="D95" i="2"/>
  <c r="K94" i="2"/>
  <c r="L94" i="2" s="1"/>
  <c r="J94" i="2"/>
  <c r="E94" i="2"/>
  <c r="D94" i="2"/>
  <c r="K93" i="2"/>
  <c r="L93" i="2" s="1"/>
  <c r="J93" i="2"/>
  <c r="E93" i="2"/>
  <c r="D93" i="2"/>
  <c r="K92" i="2"/>
  <c r="L92" i="2" s="1"/>
  <c r="J92" i="2"/>
  <c r="E92" i="2"/>
  <c r="D92" i="2"/>
  <c r="K91" i="2"/>
  <c r="L91" i="2" s="1"/>
  <c r="J91" i="2"/>
  <c r="E91" i="2"/>
  <c r="D91" i="2"/>
  <c r="K90" i="2"/>
  <c r="L90" i="2" s="1"/>
  <c r="J90" i="2"/>
  <c r="E90" i="2"/>
  <c r="D90" i="2"/>
  <c r="K89" i="2"/>
  <c r="L89" i="2" s="1"/>
  <c r="J89" i="2"/>
  <c r="E89" i="2"/>
  <c r="D89" i="2"/>
  <c r="E87" i="2"/>
  <c r="D87" i="2"/>
  <c r="K86" i="2"/>
  <c r="L86" i="2" s="1"/>
  <c r="J86" i="2"/>
  <c r="E86" i="2"/>
  <c r="D86" i="2"/>
  <c r="I18" i="2"/>
  <c r="J19" i="2"/>
  <c r="D20" i="2"/>
  <c r="E20" i="2"/>
  <c r="J20" i="2"/>
  <c r="J21" i="2"/>
  <c r="D22" i="2"/>
  <c r="E22" i="2"/>
  <c r="J22" i="2"/>
  <c r="L925" i="57" l="1"/>
  <c r="L943" i="57"/>
  <c r="L953" i="57"/>
  <c r="L955" i="57"/>
  <c r="L949" i="57"/>
  <c r="L954" i="57"/>
  <c r="L942" i="57"/>
  <c r="L941" i="57"/>
  <c r="L947" i="57"/>
  <c r="L88" i="2"/>
  <c r="K88" i="2" s="1"/>
  <c r="K87" i="2" s="1"/>
  <c r="L87" i="2" s="1"/>
  <c r="L85" i="2" s="1"/>
  <c r="I23" i="2" l="1"/>
  <c r="D24" i="2"/>
  <c r="E24" i="2"/>
  <c r="J24" i="2"/>
  <c r="D25" i="2"/>
  <c r="E25" i="2"/>
  <c r="I25" i="2"/>
  <c r="J25" i="2"/>
  <c r="K65" i="2" l="1"/>
  <c r="K66" i="2"/>
  <c r="K67" i="2"/>
  <c r="K68" i="2"/>
  <c r="D9" i="2"/>
  <c r="E9" i="2"/>
  <c r="E10" i="2"/>
  <c r="D10" i="2"/>
  <c r="D12" i="2"/>
  <c r="E12" i="2"/>
  <c r="J12" i="2"/>
  <c r="D13" i="2"/>
  <c r="E13" i="2"/>
  <c r="J13" i="2"/>
  <c r="K937" i="57"/>
  <c r="J937" i="57"/>
  <c r="J930" i="57"/>
  <c r="K930" i="57"/>
  <c r="J931" i="57"/>
  <c r="K931" i="57"/>
  <c r="J932" i="57"/>
  <c r="K932" i="57"/>
  <c r="J933" i="57"/>
  <c r="K933" i="57"/>
  <c r="J934" i="57"/>
  <c r="K934" i="57"/>
  <c r="J935" i="57"/>
  <c r="K935" i="57"/>
  <c r="J936" i="57"/>
  <c r="K936" i="57"/>
  <c r="K929" i="57"/>
  <c r="J929" i="57"/>
  <c r="H70" i="1"/>
  <c r="H71" i="1"/>
  <c r="H65" i="1"/>
  <c r="H46" i="216" s="1"/>
  <c r="AC46" i="216" s="1"/>
  <c r="AC39" i="216" s="1"/>
  <c r="AJ39" i="216" s="1"/>
  <c r="H68" i="1"/>
  <c r="C937" i="57"/>
  <c r="C936" i="57"/>
  <c r="C935" i="57"/>
  <c r="C934" i="57"/>
  <c r="C933" i="57"/>
  <c r="C932" i="57"/>
  <c r="C931" i="57"/>
  <c r="C930" i="57"/>
  <c r="C929" i="57"/>
  <c r="D926" i="57"/>
  <c r="D77" i="218" s="1"/>
  <c r="C924" i="57"/>
  <c r="K924" i="57"/>
  <c r="J924" i="57"/>
  <c r="D921" i="57"/>
  <c r="D76" i="218" s="1"/>
  <c r="L924" i="57" l="1"/>
  <c r="AB125" i="216" l="1"/>
  <c r="AB134" i="216"/>
  <c r="AB110" i="216"/>
  <c r="AB48" i="216"/>
  <c r="AB38" i="216"/>
  <c r="AB32" i="216"/>
  <c r="AB18" i="216"/>
  <c r="AA125" i="216"/>
  <c r="AA134" i="216"/>
  <c r="AA110" i="216"/>
  <c r="AA48" i="216"/>
  <c r="AA38" i="216"/>
  <c r="AA32" i="216"/>
  <c r="Z125" i="216"/>
  <c r="Z134" i="216"/>
  <c r="Z110" i="216"/>
  <c r="Z48" i="216"/>
  <c r="Z38" i="216"/>
  <c r="Z32" i="216"/>
  <c r="Z18" i="216"/>
  <c r="Y125" i="216"/>
  <c r="Y134" i="216"/>
  <c r="Y110" i="216"/>
  <c r="Y48" i="216"/>
  <c r="Y38" i="216"/>
  <c r="Y32" i="216"/>
  <c r="Y18" i="216"/>
  <c r="C13" i="218" l="1"/>
  <c r="C14" i="218"/>
  <c r="C16" i="218"/>
  <c r="C17" i="218"/>
  <c r="C18" i="218"/>
  <c r="C19" i="218"/>
  <c r="C20" i="218"/>
  <c r="C21" i="218"/>
  <c r="C22" i="218"/>
  <c r="C23" i="218"/>
  <c r="C24" i="218"/>
  <c r="C25" i="218"/>
  <c r="C26" i="218"/>
  <c r="C27" i="218"/>
  <c r="C28" i="218"/>
  <c r="C29" i="218"/>
  <c r="C30" i="218"/>
  <c r="C31" i="218"/>
  <c r="C32" i="218"/>
  <c r="C33" i="218"/>
  <c r="C34" i="218"/>
  <c r="C35" i="218"/>
  <c r="C36" i="218"/>
  <c r="C37" i="218"/>
  <c r="C38" i="218"/>
  <c r="C39" i="218"/>
  <c r="C40" i="218"/>
  <c r="C41" i="218"/>
  <c r="C42" i="218"/>
  <c r="C43" i="218"/>
  <c r="C44" i="218"/>
  <c r="C45" i="218"/>
  <c r="C46" i="218"/>
  <c r="C47" i="218"/>
  <c r="C48" i="218"/>
  <c r="C49" i="218"/>
  <c r="C50" i="218"/>
  <c r="C51" i="218"/>
  <c r="C52" i="218"/>
  <c r="C53" i="218"/>
  <c r="C54" i="218"/>
  <c r="C55" i="218"/>
  <c r="C56" i="218"/>
  <c r="C57" i="218"/>
  <c r="C58" i="218"/>
  <c r="C59" i="218"/>
  <c r="C60" i="218"/>
  <c r="C61" i="218"/>
  <c r="C62" i="218"/>
  <c r="C63" i="218"/>
  <c r="C64" i="218"/>
  <c r="C65" i="218"/>
  <c r="C66" i="218"/>
  <c r="C67" i="218"/>
  <c r="C68" i="218"/>
  <c r="C69" i="218"/>
  <c r="C70" i="218"/>
  <c r="C71" i="218"/>
  <c r="C72" i="218"/>
  <c r="C73" i="218"/>
  <c r="C74" i="218"/>
  <c r="C75" i="218"/>
  <c r="C12" i="218"/>
  <c r="C11" i="218"/>
  <c r="K913" i="57"/>
  <c r="J913" i="57"/>
  <c r="K905" i="57"/>
  <c r="K911" i="57" s="1"/>
  <c r="J905" i="57"/>
  <c r="K898" i="57"/>
  <c r="K901" i="57" s="1"/>
  <c r="J898" i="57"/>
  <c r="J903" i="57" s="1"/>
  <c r="K890" i="57"/>
  <c r="K897" i="57" s="1"/>
  <c r="J890" i="57"/>
  <c r="K882" i="57"/>
  <c r="K888" i="57" s="1"/>
  <c r="J882" i="57"/>
  <c r="J889" i="57" s="1"/>
  <c r="K874" i="57"/>
  <c r="K879" i="57" s="1"/>
  <c r="J874" i="57"/>
  <c r="J881" i="57" s="1"/>
  <c r="K866" i="57"/>
  <c r="K872" i="57" s="1"/>
  <c r="J866" i="57"/>
  <c r="J69" i="218" s="1"/>
  <c r="K860" i="57"/>
  <c r="K68" i="218" s="1"/>
  <c r="J860" i="57"/>
  <c r="J68" i="218" s="1"/>
  <c r="K852" i="57"/>
  <c r="K865" i="57" s="1"/>
  <c r="J852" i="57"/>
  <c r="J863" i="57" s="1"/>
  <c r="K844" i="57"/>
  <c r="K66" i="218" s="1"/>
  <c r="J844" i="57"/>
  <c r="J66" i="218" s="1"/>
  <c r="K838" i="57"/>
  <c r="K65" i="218" s="1"/>
  <c r="J838" i="57"/>
  <c r="J65" i="218" s="1"/>
  <c r="K832" i="57"/>
  <c r="K64" i="218" s="1"/>
  <c r="J832" i="57"/>
  <c r="J64" i="218" s="1"/>
  <c r="F113" i="216"/>
  <c r="H113" i="216"/>
  <c r="AC113" i="216" s="1"/>
  <c r="F114" i="216"/>
  <c r="H114" i="216"/>
  <c r="AC114" i="216" s="1"/>
  <c r="F115" i="216"/>
  <c r="H115" i="216"/>
  <c r="AC115" i="216" s="1"/>
  <c r="F116" i="216"/>
  <c r="H116" i="216"/>
  <c r="AC116" i="216" s="1"/>
  <c r="F117" i="216"/>
  <c r="H117" i="216"/>
  <c r="AC117" i="216" s="1"/>
  <c r="F118" i="216"/>
  <c r="H118" i="216"/>
  <c r="AC118" i="216" s="1"/>
  <c r="F119" i="216"/>
  <c r="H119" i="216"/>
  <c r="AC119" i="216" s="1"/>
  <c r="F120" i="216"/>
  <c r="H120" i="216"/>
  <c r="AC120" i="216" s="1"/>
  <c r="F121" i="216"/>
  <c r="H121" i="216"/>
  <c r="AC121" i="216" s="1"/>
  <c r="F122" i="216"/>
  <c r="H122" i="216"/>
  <c r="AC122" i="216" s="1"/>
  <c r="F123" i="216"/>
  <c r="H123" i="216"/>
  <c r="AC123" i="216" s="1"/>
  <c r="F124" i="216"/>
  <c r="H124" i="216"/>
  <c r="AC124" i="216" s="1"/>
  <c r="F126" i="216"/>
  <c r="H126" i="216"/>
  <c r="AC126" i="216" s="1"/>
  <c r="F127" i="216"/>
  <c r="H127" i="216"/>
  <c r="AC127" i="216" s="1"/>
  <c r="F128" i="216"/>
  <c r="H128" i="216"/>
  <c r="AC128" i="216" s="1"/>
  <c r="F129" i="216"/>
  <c r="H129" i="216"/>
  <c r="AC129" i="216" s="1"/>
  <c r="F130" i="216"/>
  <c r="H130" i="216"/>
  <c r="AC130" i="216" s="1"/>
  <c r="F131" i="216"/>
  <c r="H131" i="216"/>
  <c r="AC131" i="216" s="1"/>
  <c r="F132" i="216"/>
  <c r="H132" i="216"/>
  <c r="AC132" i="216" s="1"/>
  <c r="F133" i="216"/>
  <c r="H133" i="216"/>
  <c r="AC133" i="216" s="1"/>
  <c r="H112" i="216"/>
  <c r="AC112" i="216" s="1"/>
  <c r="F112" i="216"/>
  <c r="F85" i="216"/>
  <c r="H85" i="216"/>
  <c r="AC85" i="216" s="1"/>
  <c r="F86" i="216"/>
  <c r="H86" i="216"/>
  <c r="AC86" i="216" s="1"/>
  <c r="F87" i="216"/>
  <c r="H87" i="216"/>
  <c r="AC87" i="216" s="1"/>
  <c r="F88" i="216"/>
  <c r="H88" i="216"/>
  <c r="AC88" i="216" s="1"/>
  <c r="F89" i="216"/>
  <c r="H89" i="216"/>
  <c r="AC89" i="216" s="1"/>
  <c r="F90" i="216"/>
  <c r="H90" i="216"/>
  <c r="AC90" i="216" s="1"/>
  <c r="F91" i="216"/>
  <c r="H91" i="216"/>
  <c r="AC91" i="216" s="1"/>
  <c r="F92" i="216"/>
  <c r="H92" i="216"/>
  <c r="AC92" i="216" s="1"/>
  <c r="F93" i="216"/>
  <c r="H93" i="216"/>
  <c r="AC93" i="216" s="1"/>
  <c r="F94" i="216"/>
  <c r="H94" i="216"/>
  <c r="AC94" i="216" s="1"/>
  <c r="F95" i="216"/>
  <c r="H95" i="216"/>
  <c r="AC95" i="216" s="1"/>
  <c r="F96" i="216"/>
  <c r="H96" i="216"/>
  <c r="AC96" i="216" s="1"/>
  <c r="F97" i="216"/>
  <c r="H97" i="216"/>
  <c r="AC97" i="216" s="1"/>
  <c r="F98" i="216"/>
  <c r="H98" i="216"/>
  <c r="AC98" i="216" s="1"/>
  <c r="F99" i="216"/>
  <c r="H99" i="216"/>
  <c r="AC99" i="216" s="1"/>
  <c r="F100" i="216"/>
  <c r="H100" i="216"/>
  <c r="AC100" i="216" s="1"/>
  <c r="F101" i="216"/>
  <c r="H101" i="216"/>
  <c r="AC101" i="216" s="1"/>
  <c r="F102" i="216"/>
  <c r="H102" i="216"/>
  <c r="AC102" i="216" s="1"/>
  <c r="F103" i="216"/>
  <c r="H103" i="216"/>
  <c r="AC103" i="216" s="1"/>
  <c r="F104" i="216"/>
  <c r="H104" i="216"/>
  <c r="F105" i="216"/>
  <c r="H105" i="216"/>
  <c r="AC105" i="216" s="1"/>
  <c r="F106" i="216"/>
  <c r="H106" i="216"/>
  <c r="AC106" i="216" s="1"/>
  <c r="F107" i="216"/>
  <c r="H107" i="216"/>
  <c r="AC107" i="216" s="1"/>
  <c r="F108" i="216"/>
  <c r="H108" i="216"/>
  <c r="AC108" i="216" s="1"/>
  <c r="F109" i="216"/>
  <c r="H109" i="216"/>
  <c r="AC109" i="216" s="1"/>
  <c r="H84" i="216"/>
  <c r="AC84" i="216" s="1"/>
  <c r="F84" i="216"/>
  <c r="H83" i="216"/>
  <c r="AC83" i="216" s="1"/>
  <c r="F83" i="216"/>
  <c r="H82" i="216"/>
  <c r="AC82" i="216" s="1"/>
  <c r="F82" i="216"/>
  <c r="H81" i="216"/>
  <c r="AC81" i="216" s="1"/>
  <c r="F81" i="216"/>
  <c r="H80" i="216"/>
  <c r="AC80" i="216" s="1"/>
  <c r="F80" i="216"/>
  <c r="H79" i="216"/>
  <c r="AC79" i="216" s="1"/>
  <c r="F79" i="216"/>
  <c r="F73" i="216"/>
  <c r="H73" i="216"/>
  <c r="AC73" i="216" s="1"/>
  <c r="F74" i="216"/>
  <c r="H74" i="216"/>
  <c r="AC74" i="216" s="1"/>
  <c r="F75" i="216"/>
  <c r="H75" i="216"/>
  <c r="AC75" i="216" s="1"/>
  <c r="F76" i="216"/>
  <c r="H76" i="216"/>
  <c r="AC76" i="216" s="1"/>
  <c r="F77" i="216"/>
  <c r="H77" i="216"/>
  <c r="AC77" i="216" s="1"/>
  <c r="H72" i="216"/>
  <c r="AC72" i="216" s="1"/>
  <c r="F72" i="216"/>
  <c r="F51" i="216"/>
  <c r="H51" i="216"/>
  <c r="AC51" i="216" s="1"/>
  <c r="F52" i="216"/>
  <c r="H52" i="216"/>
  <c r="AC52" i="216" s="1"/>
  <c r="F53" i="216"/>
  <c r="H53" i="216"/>
  <c r="AC53" i="216" s="1"/>
  <c r="F54" i="216"/>
  <c r="H54" i="216"/>
  <c r="AC54" i="216" s="1"/>
  <c r="F55" i="216"/>
  <c r="H55" i="216"/>
  <c r="AC55" i="216" s="1"/>
  <c r="F56" i="216"/>
  <c r="H56" i="216"/>
  <c r="AC56" i="216" s="1"/>
  <c r="F57" i="216"/>
  <c r="H57" i="216"/>
  <c r="AC57" i="216" s="1"/>
  <c r="F58" i="216"/>
  <c r="H58" i="216"/>
  <c r="AC58" i="216" s="1"/>
  <c r="F59" i="216"/>
  <c r="H59" i="216"/>
  <c r="AC59" i="216" s="1"/>
  <c r="F60" i="216"/>
  <c r="H60" i="216"/>
  <c r="AC60" i="216" s="1"/>
  <c r="F61" i="216"/>
  <c r="H61" i="216"/>
  <c r="AC61" i="216" s="1"/>
  <c r="F62" i="216"/>
  <c r="H62" i="216"/>
  <c r="AC62" i="216" s="1"/>
  <c r="F63" i="216"/>
  <c r="H63" i="216"/>
  <c r="AC63" i="216" s="1"/>
  <c r="F64" i="216"/>
  <c r="H64" i="216"/>
  <c r="AC64" i="216" s="1"/>
  <c r="F65" i="216"/>
  <c r="H65" i="216"/>
  <c r="AC65" i="216" s="1"/>
  <c r="F66" i="216"/>
  <c r="H66" i="216"/>
  <c r="AC66" i="216" s="1"/>
  <c r="F67" i="216"/>
  <c r="H67" i="216"/>
  <c r="AC67" i="216" s="1"/>
  <c r="F68" i="216"/>
  <c r="H68" i="216"/>
  <c r="AC68" i="216" s="1"/>
  <c r="F69" i="216"/>
  <c r="H69" i="216"/>
  <c r="AC69" i="216" s="1"/>
  <c r="H50" i="216"/>
  <c r="AC50" i="216" s="1"/>
  <c r="F50" i="216"/>
  <c r="F41" i="216"/>
  <c r="F42" i="216"/>
  <c r="F43" i="216"/>
  <c r="F44" i="216"/>
  <c r="F45" i="216"/>
  <c r="F46" i="216"/>
  <c r="F47" i="216"/>
  <c r="F40" i="216"/>
  <c r="H37" i="216"/>
  <c r="AC37" i="216" s="1"/>
  <c r="AC36" i="216" s="1"/>
  <c r="AJ36" i="216" s="1"/>
  <c r="F37" i="216"/>
  <c r="F21" i="216"/>
  <c r="H21" i="216"/>
  <c r="AC21" i="216" s="1"/>
  <c r="F22" i="216"/>
  <c r="H22" i="216"/>
  <c r="AC22" i="216" s="1"/>
  <c r="F23" i="216"/>
  <c r="H23" i="216"/>
  <c r="AC23" i="216" s="1"/>
  <c r="F24" i="216"/>
  <c r="H24" i="216"/>
  <c r="AC24" i="216" s="1"/>
  <c r="F25" i="216"/>
  <c r="H25" i="216"/>
  <c r="AC25" i="216" s="1"/>
  <c r="F26" i="216"/>
  <c r="H26" i="216"/>
  <c r="AC26" i="216" s="1"/>
  <c r="F27" i="216"/>
  <c r="H27" i="216"/>
  <c r="AC27" i="216" s="1"/>
  <c r="F28" i="216"/>
  <c r="H28" i="216"/>
  <c r="AC28" i="216" s="1"/>
  <c r="F29" i="216"/>
  <c r="H29" i="216"/>
  <c r="AC29" i="216" s="1"/>
  <c r="F30" i="216"/>
  <c r="H30" i="216"/>
  <c r="AC30" i="216" s="1"/>
  <c r="F31" i="216"/>
  <c r="H31" i="216"/>
  <c r="AC31" i="216" s="1"/>
  <c r="H20" i="216"/>
  <c r="AC20" i="216" s="1"/>
  <c r="F20" i="216"/>
  <c r="F12" i="216"/>
  <c r="H12" i="216"/>
  <c r="F13" i="216"/>
  <c r="H13" i="216"/>
  <c r="F14" i="216"/>
  <c r="H14" i="216"/>
  <c r="AC14" i="216" s="1"/>
  <c r="F15" i="216"/>
  <c r="H15" i="216"/>
  <c r="AC15" i="216" s="1"/>
  <c r="F11" i="216"/>
  <c r="H11" i="216"/>
  <c r="F8" i="216"/>
  <c r="H8" i="216"/>
  <c r="AC8" i="216" s="1"/>
  <c r="AC7" i="216" s="1"/>
  <c r="AJ7" i="216" s="1"/>
  <c r="C920" i="57"/>
  <c r="C919" i="57"/>
  <c r="C918" i="57"/>
  <c r="D917" i="57"/>
  <c r="C917" i="57"/>
  <c r="C916" i="57"/>
  <c r="D913" i="57"/>
  <c r="D75" i="218" s="1"/>
  <c r="D905" i="57"/>
  <c r="D74" i="218" s="1"/>
  <c r="C910" i="57"/>
  <c r="C912" i="57"/>
  <c r="C911" i="57"/>
  <c r="D909" i="57"/>
  <c r="C909" i="57"/>
  <c r="C908" i="57"/>
  <c r="C904" i="57"/>
  <c r="C903" i="57"/>
  <c r="D902" i="57"/>
  <c r="C902" i="57"/>
  <c r="C901" i="57"/>
  <c r="D898" i="57"/>
  <c r="D73" i="218" s="1"/>
  <c r="D893" i="57"/>
  <c r="C897" i="57"/>
  <c r="C896" i="57"/>
  <c r="C895" i="57"/>
  <c r="D894" i="57"/>
  <c r="C894" i="57"/>
  <c r="C893" i="57"/>
  <c r="D890" i="57"/>
  <c r="D72" i="218" s="1"/>
  <c r="D885" i="57"/>
  <c r="C889" i="57"/>
  <c r="C888" i="57"/>
  <c r="C887" i="57"/>
  <c r="D886" i="57"/>
  <c r="C886" i="57"/>
  <c r="C885" i="57"/>
  <c r="D882" i="57"/>
  <c r="D71" i="218" s="1"/>
  <c r="D874" i="57"/>
  <c r="D70" i="218" s="1"/>
  <c r="C881" i="57"/>
  <c r="C880" i="57"/>
  <c r="C879" i="57"/>
  <c r="D878" i="57"/>
  <c r="C878" i="57"/>
  <c r="D877" i="57"/>
  <c r="C877" i="57"/>
  <c r="C872" i="57"/>
  <c r="C871" i="57"/>
  <c r="D869" i="57"/>
  <c r="C873" i="57"/>
  <c r="D870" i="57"/>
  <c r="C870" i="57"/>
  <c r="C869" i="57"/>
  <c r="D866" i="57"/>
  <c r="D69" i="218" s="1"/>
  <c r="E84" i="2"/>
  <c r="E83" i="2"/>
  <c r="E82" i="2"/>
  <c r="E81" i="2"/>
  <c r="E80" i="2"/>
  <c r="I79" i="2"/>
  <c r="C857" i="57"/>
  <c r="C849" i="57"/>
  <c r="C70" i="57"/>
  <c r="C60" i="57"/>
  <c r="C50" i="57"/>
  <c r="C40" i="57"/>
  <c r="C29" i="57"/>
  <c r="C18" i="57"/>
  <c r="L145" i="1"/>
  <c r="N145" i="1" s="1"/>
  <c r="I145" i="1"/>
  <c r="L112" i="1"/>
  <c r="N112" i="1" s="1"/>
  <c r="L51" i="1"/>
  <c r="N51" i="1" s="1"/>
  <c r="L136" i="1"/>
  <c r="L111" i="1"/>
  <c r="N111" i="1" s="1"/>
  <c r="L135" i="1"/>
  <c r="L134" i="1"/>
  <c r="L133" i="1"/>
  <c r="D835" i="57"/>
  <c r="D841" i="57"/>
  <c r="R841" i="57"/>
  <c r="L178" i="1"/>
  <c r="L179" i="1"/>
  <c r="N179" i="1" s="1"/>
  <c r="L180" i="1"/>
  <c r="N180" i="1" s="1"/>
  <c r="L181" i="1"/>
  <c r="N181" i="1" s="1"/>
  <c r="L182" i="1"/>
  <c r="N182" i="1" s="1"/>
  <c r="L183" i="1"/>
  <c r="N183" i="1" s="1"/>
  <c r="L184" i="1"/>
  <c r="N184" i="1" s="1"/>
  <c r="L185" i="1"/>
  <c r="N185" i="1" s="1"/>
  <c r="L186" i="1"/>
  <c r="N186" i="1" s="1"/>
  <c r="L187" i="1"/>
  <c r="N187" i="1" s="1"/>
  <c r="L110" i="1"/>
  <c r="N110" i="1" s="1"/>
  <c r="L177" i="1"/>
  <c r="N177" i="1" s="1"/>
  <c r="L176" i="1"/>
  <c r="L175" i="1"/>
  <c r="I175" i="1"/>
  <c r="L132" i="1"/>
  <c r="N132" i="1" s="1"/>
  <c r="L109" i="1"/>
  <c r="N109" i="1" s="1"/>
  <c r="S61" i="1"/>
  <c r="Q60" i="1"/>
  <c r="D855" i="57"/>
  <c r="D847" i="57"/>
  <c r="C859" i="57"/>
  <c r="C858" i="57"/>
  <c r="C856" i="57"/>
  <c r="C855" i="57"/>
  <c r="C865" i="57"/>
  <c r="D864" i="57"/>
  <c r="C864" i="57"/>
  <c r="C863" i="57"/>
  <c r="D860" i="57"/>
  <c r="D68" i="218" s="1"/>
  <c r="D852" i="57"/>
  <c r="D67" i="218" s="1"/>
  <c r="L126" i="1"/>
  <c r="L127" i="1"/>
  <c r="L128" i="1"/>
  <c r="L129" i="1"/>
  <c r="L130" i="1"/>
  <c r="L131" i="1"/>
  <c r="L125" i="1"/>
  <c r="N125" i="1" s="1"/>
  <c r="I125" i="1"/>
  <c r="L124" i="1"/>
  <c r="I124" i="1"/>
  <c r="L108" i="1"/>
  <c r="N108" i="1" s="1"/>
  <c r="L107" i="1"/>
  <c r="K84" i="2" s="1"/>
  <c r="L106" i="1"/>
  <c r="N106" i="1" s="1"/>
  <c r="L105" i="1"/>
  <c r="N105" i="1" s="1"/>
  <c r="L104" i="1"/>
  <c r="N104" i="1" s="1"/>
  <c r="AC104" i="216" l="1"/>
  <c r="AC78" i="216" s="1"/>
  <c r="AJ78" i="216" s="1"/>
  <c r="AA104" i="216"/>
  <c r="AC71" i="216"/>
  <c r="AJ71" i="216" s="1"/>
  <c r="AC19" i="216"/>
  <c r="AJ19" i="216" s="1"/>
  <c r="Y13" i="216"/>
  <c r="AC13" i="216"/>
  <c r="Y12" i="216"/>
  <c r="AC12" i="216"/>
  <c r="AC49" i="216"/>
  <c r="AJ49" i="216" s="1"/>
  <c r="AC111" i="216"/>
  <c r="AJ111" i="216" s="1"/>
  <c r="Y11" i="216"/>
  <c r="AC11" i="216"/>
  <c r="Y15" i="216"/>
  <c r="AA15" i="216"/>
  <c r="Z15" i="216"/>
  <c r="Y14" i="216"/>
  <c r="AA14" i="216"/>
  <c r="N135" i="1"/>
  <c r="F1041" i="57"/>
  <c r="G1041" i="57" s="1"/>
  <c r="F1055" i="57"/>
  <c r="G1055" i="57" s="1"/>
  <c r="N136" i="1"/>
  <c r="F1027" i="57"/>
  <c r="G1027" i="57" s="1"/>
  <c r="N176" i="1"/>
  <c r="F1071" i="57"/>
  <c r="G1071" i="57" s="1"/>
  <c r="F1064" i="57"/>
  <c r="G1064" i="57" s="1"/>
  <c r="N178" i="1"/>
  <c r="F1057" i="57"/>
  <c r="G1057" i="57" s="1"/>
  <c r="F1029" i="57"/>
  <c r="G1029" i="57" s="1"/>
  <c r="F1001" i="57"/>
  <c r="G1001" i="57" s="1"/>
  <c r="F1015" i="57"/>
  <c r="G1015" i="57" s="1"/>
  <c r="F987" i="57"/>
  <c r="G987" i="57" s="1"/>
  <c r="F994" i="57"/>
  <c r="G994" i="57" s="1"/>
  <c r="F1008" i="57"/>
  <c r="G1008" i="57" s="1"/>
  <c r="F971" i="57"/>
  <c r="G971" i="57" s="1"/>
  <c r="F1022" i="57"/>
  <c r="G1022" i="57" s="1"/>
  <c r="F979" i="57"/>
  <c r="G979" i="57" s="1"/>
  <c r="F1050" i="57"/>
  <c r="G1050" i="57" s="1"/>
  <c r="N175" i="1"/>
  <c r="F1049" i="57"/>
  <c r="G1049" i="57" s="1"/>
  <c r="F1021" i="57"/>
  <c r="G1021" i="57" s="1"/>
  <c r="F1028" i="57"/>
  <c r="G1028" i="57" s="1"/>
  <c r="F1007" i="57"/>
  <c r="G1007" i="57" s="1"/>
  <c r="F1000" i="57"/>
  <c r="G1000" i="57" s="1"/>
  <c r="F1014" i="57"/>
  <c r="G1014" i="57" s="1"/>
  <c r="F978" i="57"/>
  <c r="G978" i="57" s="1"/>
  <c r="F993" i="57"/>
  <c r="G993" i="57" s="1"/>
  <c r="F1056" i="57"/>
  <c r="G1056" i="57" s="1"/>
  <c r="F970" i="57"/>
  <c r="G970" i="57" s="1"/>
  <c r="F986" i="57"/>
  <c r="G986" i="57" s="1"/>
  <c r="N128" i="1"/>
  <c r="F977" i="57"/>
  <c r="G977" i="57" s="1"/>
  <c r="F999" i="57"/>
  <c r="G999" i="57" s="1"/>
  <c r="N127" i="1"/>
  <c r="F992" i="57"/>
  <c r="G992" i="57" s="1"/>
  <c r="F969" i="57"/>
  <c r="G969" i="57" s="1"/>
  <c r="N126" i="1"/>
  <c r="F1013" i="57"/>
  <c r="G1013" i="57" s="1"/>
  <c r="N130" i="1"/>
  <c r="F1020" i="57"/>
  <c r="G1020" i="57" s="1"/>
  <c r="N129" i="1"/>
  <c r="F985" i="57"/>
  <c r="G985" i="57" s="1"/>
  <c r="F1006" i="57"/>
  <c r="G1006" i="57" s="1"/>
  <c r="N107" i="1"/>
  <c r="F1026" i="57"/>
  <c r="G1026" i="57" s="1"/>
  <c r="F983" i="57"/>
  <c r="G983" i="57" s="1"/>
  <c r="F975" i="57"/>
  <c r="G975" i="57" s="1"/>
  <c r="N133" i="1"/>
  <c r="F1075" i="57"/>
  <c r="G1075" i="57" s="1"/>
  <c r="N131" i="1"/>
  <c r="F1062" i="57"/>
  <c r="G1062" i="57" s="1"/>
  <c r="N134" i="1"/>
  <c r="F1048" i="57"/>
  <c r="G1048" i="57" s="1"/>
  <c r="F1034" i="57"/>
  <c r="G1034" i="57" s="1"/>
  <c r="N124" i="1"/>
  <c r="F967" i="57"/>
  <c r="G967" i="57" s="1"/>
  <c r="K917" i="57"/>
  <c r="J917" i="57"/>
  <c r="J75" i="218"/>
  <c r="J919" i="57"/>
  <c r="J918" i="57"/>
  <c r="J916" i="57"/>
  <c r="J920" i="57"/>
  <c r="K75" i="218"/>
  <c r="K919" i="57"/>
  <c r="K918" i="57"/>
  <c r="K916" i="57"/>
  <c r="K920" i="57"/>
  <c r="J872" i="57"/>
  <c r="J873" i="57"/>
  <c r="J869" i="57"/>
  <c r="K873" i="57"/>
  <c r="K855" i="57"/>
  <c r="J880" i="57"/>
  <c r="K870" i="57"/>
  <c r="F896" i="57"/>
  <c r="G896" i="57" s="1"/>
  <c r="Z84" i="216"/>
  <c r="AB84" i="216"/>
  <c r="Y84" i="216"/>
  <c r="AA84" i="216"/>
  <c r="AA57" i="216"/>
  <c r="Z57" i="216"/>
  <c r="Y57" i="216"/>
  <c r="AB57" i="216"/>
  <c r="AA12" i="216"/>
  <c r="Z12" i="216"/>
  <c r="AB12" i="216"/>
  <c r="AA68" i="216"/>
  <c r="Z68" i="216"/>
  <c r="AB68" i="216"/>
  <c r="Y68" i="216"/>
  <c r="Z109" i="216"/>
  <c r="AB109" i="216"/>
  <c r="Y109" i="216"/>
  <c r="AA109" i="216"/>
  <c r="Z129" i="216"/>
  <c r="AB129" i="216"/>
  <c r="Y129" i="216"/>
  <c r="AA129" i="216"/>
  <c r="AA122" i="216"/>
  <c r="Z122" i="216"/>
  <c r="AB122" i="216"/>
  <c r="Y122" i="216"/>
  <c r="Z116" i="216"/>
  <c r="AB116" i="216"/>
  <c r="Y116" i="216"/>
  <c r="AA116" i="216"/>
  <c r="AA69" i="216"/>
  <c r="Y69" i="216"/>
  <c r="Z69" i="216"/>
  <c r="AB69" i="216"/>
  <c r="AB44" i="216"/>
  <c r="Y44" i="216"/>
  <c r="AA44" i="216"/>
  <c r="Z44" i="216"/>
  <c r="Y91" i="216"/>
  <c r="Z91" i="216"/>
  <c r="AA91" i="216"/>
  <c r="AB91" i="216"/>
  <c r="AB72" i="216"/>
  <c r="Y72" i="216"/>
  <c r="AA72" i="216"/>
  <c r="Z72" i="216"/>
  <c r="AA79" i="216"/>
  <c r="Z79" i="216"/>
  <c r="AB79" i="216"/>
  <c r="Y79" i="216"/>
  <c r="Y22" i="216"/>
  <c r="AA22" i="216"/>
  <c r="Z22" i="216"/>
  <c r="AB22" i="216"/>
  <c r="AB51" i="216"/>
  <c r="Y51" i="216"/>
  <c r="Z51" i="216"/>
  <c r="AA51" i="216"/>
  <c r="Z98" i="216"/>
  <c r="AB98" i="216"/>
  <c r="AA98" i="216"/>
  <c r="Y98" i="216"/>
  <c r="Z86" i="216"/>
  <c r="AB86" i="216"/>
  <c r="Y86" i="216"/>
  <c r="AA86" i="216"/>
  <c r="AA123" i="216"/>
  <c r="Z123" i="216"/>
  <c r="Y123" i="216"/>
  <c r="AB123" i="216"/>
  <c r="Z117" i="216"/>
  <c r="AB117" i="216"/>
  <c r="Y117" i="216"/>
  <c r="AA117" i="216"/>
  <c r="Z8" i="216"/>
  <c r="Z7" i="216" s="1"/>
  <c r="AG7" i="216" s="1"/>
  <c r="AA8" i="216"/>
  <c r="Y8" i="216"/>
  <c r="Y7" i="216" s="1"/>
  <c r="AF7" i="216" s="1"/>
  <c r="AB8" i="216"/>
  <c r="AB26" i="216"/>
  <c r="Y26" i="216"/>
  <c r="AA26" i="216"/>
  <c r="Z26" i="216"/>
  <c r="Y43" i="216"/>
  <c r="AA43" i="216"/>
  <c r="AB43" i="216"/>
  <c r="Z43" i="216"/>
  <c r="Z67" i="216"/>
  <c r="AB67" i="216"/>
  <c r="Y67" i="216"/>
  <c r="AA67" i="216"/>
  <c r="Y61" i="216"/>
  <c r="AB61" i="216"/>
  <c r="AA61" i="216"/>
  <c r="Z61" i="216"/>
  <c r="Z55" i="216"/>
  <c r="AB55" i="216"/>
  <c r="Y55" i="216"/>
  <c r="AA55" i="216"/>
  <c r="Y77" i="216"/>
  <c r="AB77" i="216"/>
  <c r="Z77" i="216"/>
  <c r="AA77" i="216"/>
  <c r="Z108" i="216"/>
  <c r="AB108" i="216"/>
  <c r="Y108" i="216"/>
  <c r="AA108" i="216"/>
  <c r="AA102" i="216"/>
  <c r="Y102" i="216"/>
  <c r="Z102" i="216"/>
  <c r="AB102" i="216"/>
  <c r="Z96" i="216"/>
  <c r="AB96" i="216"/>
  <c r="Y96" i="216"/>
  <c r="AA96" i="216"/>
  <c r="Y90" i="216"/>
  <c r="AA90" i="216"/>
  <c r="Z90" i="216"/>
  <c r="AB90" i="216"/>
  <c r="Z128" i="216"/>
  <c r="AB128" i="216"/>
  <c r="Y128" i="216"/>
  <c r="AA128" i="216"/>
  <c r="AB121" i="216"/>
  <c r="AA121" i="216"/>
  <c r="Z121" i="216"/>
  <c r="Y121" i="216"/>
  <c r="AA115" i="216"/>
  <c r="AB115" i="216"/>
  <c r="Y115" i="216"/>
  <c r="Z115" i="216"/>
  <c r="Z28" i="216"/>
  <c r="AB28" i="216"/>
  <c r="AA28" i="216"/>
  <c r="Y28" i="216"/>
  <c r="AB63" i="216"/>
  <c r="Y63" i="216"/>
  <c r="Z63" i="216"/>
  <c r="AA63" i="216"/>
  <c r="AB27" i="216"/>
  <c r="Y27" i="216"/>
  <c r="AA27" i="216"/>
  <c r="Z27" i="216"/>
  <c r="AA21" i="216"/>
  <c r="Z21" i="216"/>
  <c r="AB21" i="216"/>
  <c r="Y21" i="216"/>
  <c r="AA56" i="216"/>
  <c r="Z56" i="216"/>
  <c r="AB56" i="216"/>
  <c r="Y56" i="216"/>
  <c r="Z85" i="216"/>
  <c r="AB85" i="216"/>
  <c r="Y85" i="216"/>
  <c r="AA85" i="216"/>
  <c r="AA20" i="216"/>
  <c r="AB20" i="216"/>
  <c r="Z20" i="216"/>
  <c r="Y20" i="216"/>
  <c r="AA37" i="216"/>
  <c r="AA36" i="216" s="1"/>
  <c r="AH36" i="216" s="1"/>
  <c r="Y37" i="216"/>
  <c r="Y36" i="216" s="1"/>
  <c r="AF36" i="216" s="1"/>
  <c r="Z37" i="216"/>
  <c r="Z36" i="216" s="1"/>
  <c r="AG36" i="216" s="1"/>
  <c r="AB37" i="216"/>
  <c r="Y80" i="216"/>
  <c r="AA80" i="216"/>
  <c r="Z80" i="216"/>
  <c r="AB80" i="216"/>
  <c r="AA112" i="216"/>
  <c r="Y112" i="216"/>
  <c r="Z112" i="216"/>
  <c r="AB112" i="216"/>
  <c r="AA13" i="216"/>
  <c r="Z13" i="216"/>
  <c r="AB13" i="216"/>
  <c r="AB11" i="216"/>
  <c r="AA11" i="216"/>
  <c r="Z11" i="216"/>
  <c r="AA31" i="216"/>
  <c r="Y31" i="216"/>
  <c r="Z31" i="216"/>
  <c r="AB31" i="216"/>
  <c r="AB25" i="216"/>
  <c r="Y25" i="216"/>
  <c r="AA25" i="216"/>
  <c r="Z25" i="216"/>
  <c r="Y42" i="216"/>
  <c r="AA42" i="216"/>
  <c r="Z42" i="216"/>
  <c r="AB42" i="216"/>
  <c r="Z66" i="216"/>
  <c r="AB66" i="216"/>
  <c r="Y66" i="216"/>
  <c r="AA66" i="216"/>
  <c r="Y60" i="216"/>
  <c r="AA60" i="216"/>
  <c r="Z60" i="216"/>
  <c r="AB60" i="216"/>
  <c r="AB54" i="216"/>
  <c r="Y54" i="216"/>
  <c r="Z54" i="216"/>
  <c r="AA54" i="216"/>
  <c r="Y76" i="216"/>
  <c r="AA76" i="216"/>
  <c r="Z76" i="216"/>
  <c r="AB76" i="216"/>
  <c r="AB107" i="216"/>
  <c r="Y107" i="216"/>
  <c r="AA107" i="216"/>
  <c r="Z107" i="216"/>
  <c r="AA101" i="216"/>
  <c r="AB101" i="216"/>
  <c r="Z101" i="216"/>
  <c r="Y101" i="216"/>
  <c r="Z95" i="216"/>
  <c r="AA95" i="216"/>
  <c r="AB95" i="216"/>
  <c r="Y95" i="216"/>
  <c r="AA89" i="216"/>
  <c r="AB89" i="216"/>
  <c r="Z89" i="216"/>
  <c r="Y89" i="216"/>
  <c r="AA133" i="216"/>
  <c r="AB133" i="216"/>
  <c r="Z133" i="216"/>
  <c r="Y133" i="216"/>
  <c r="AA127" i="216"/>
  <c r="Z127" i="216"/>
  <c r="AB127" i="216"/>
  <c r="Y127" i="216"/>
  <c r="AA120" i="216"/>
  <c r="Y120" i="216"/>
  <c r="Z120" i="216"/>
  <c r="AB120" i="216"/>
  <c r="AB114" i="216"/>
  <c r="Y114" i="216"/>
  <c r="AA114" i="216"/>
  <c r="Z114" i="216"/>
  <c r="AA50" i="216"/>
  <c r="Z50" i="216"/>
  <c r="AB50" i="216"/>
  <c r="Y50" i="216"/>
  <c r="Z83" i="216"/>
  <c r="AB83" i="216"/>
  <c r="AA83" i="216"/>
  <c r="Y83" i="216"/>
  <c r="AB45" i="216"/>
  <c r="Y45" i="216"/>
  <c r="AA45" i="216"/>
  <c r="Z45" i="216"/>
  <c r="AA73" i="216"/>
  <c r="Z73" i="216"/>
  <c r="Y73" i="216"/>
  <c r="AB73" i="216"/>
  <c r="Y104" i="216"/>
  <c r="Z104" i="216"/>
  <c r="AB104" i="216"/>
  <c r="Y92" i="216"/>
  <c r="AB92" i="216"/>
  <c r="AA92" i="216"/>
  <c r="Z92" i="216"/>
  <c r="Z130" i="216"/>
  <c r="AB130" i="216"/>
  <c r="Y130" i="216"/>
  <c r="AA130" i="216"/>
  <c r="F872" i="57"/>
  <c r="G872" i="57" s="1"/>
  <c r="Z40" i="216"/>
  <c r="AA40" i="216"/>
  <c r="AB40" i="216"/>
  <c r="Y40" i="216"/>
  <c r="AB81" i="216"/>
  <c r="Y81" i="216"/>
  <c r="AA81" i="216"/>
  <c r="Z81" i="216"/>
  <c r="Y103" i="216"/>
  <c r="Z103" i="216"/>
  <c r="AA103" i="216"/>
  <c r="AB103" i="216"/>
  <c r="AB15" i="216"/>
  <c r="Z30" i="216"/>
  <c r="AA30" i="216"/>
  <c r="AB30" i="216"/>
  <c r="Y30" i="216"/>
  <c r="Z24" i="216"/>
  <c r="AA24" i="216"/>
  <c r="Y24" i="216"/>
  <c r="AB24" i="216"/>
  <c r="Z47" i="216"/>
  <c r="Y47" i="216"/>
  <c r="AB47" i="216"/>
  <c r="AA47" i="216"/>
  <c r="AA41" i="216"/>
  <c r="Z41" i="216"/>
  <c r="AB41" i="216"/>
  <c r="Y41" i="216"/>
  <c r="Y65" i="216"/>
  <c r="AB65" i="216"/>
  <c r="AA65" i="216"/>
  <c r="Z65" i="216"/>
  <c r="AA59" i="216"/>
  <c r="Z59" i="216"/>
  <c r="AB59" i="216"/>
  <c r="Y59" i="216"/>
  <c r="AB53" i="216"/>
  <c r="Y53" i="216"/>
  <c r="AA53" i="216"/>
  <c r="Z53" i="216"/>
  <c r="AA75" i="216"/>
  <c r="Z75" i="216"/>
  <c r="AB75" i="216"/>
  <c r="Y75" i="216"/>
  <c r="AB106" i="216"/>
  <c r="Y106" i="216"/>
  <c r="AA106" i="216"/>
  <c r="Z106" i="216"/>
  <c r="AA100" i="216"/>
  <c r="Z100" i="216"/>
  <c r="AB100" i="216"/>
  <c r="Y100" i="216"/>
  <c r="Z94" i="216"/>
  <c r="AB94" i="216"/>
  <c r="Y94" i="216"/>
  <c r="AA94" i="216"/>
  <c r="AA88" i="216"/>
  <c r="Z88" i="216"/>
  <c r="AB88" i="216"/>
  <c r="Y88" i="216"/>
  <c r="AA132" i="216"/>
  <c r="Z132" i="216"/>
  <c r="Y132" i="216"/>
  <c r="AB132" i="216"/>
  <c r="AB126" i="216"/>
  <c r="Y126" i="216"/>
  <c r="AA126" i="216"/>
  <c r="Z126" i="216"/>
  <c r="AA119" i="216"/>
  <c r="Z119" i="216"/>
  <c r="AB119" i="216"/>
  <c r="Y119" i="216"/>
  <c r="AB113" i="216"/>
  <c r="Y113" i="216"/>
  <c r="AA113" i="216"/>
  <c r="Z113" i="216"/>
  <c r="AB82" i="216"/>
  <c r="Y82" i="216"/>
  <c r="Z82" i="216"/>
  <c r="AA82" i="216"/>
  <c r="AB62" i="216"/>
  <c r="Y62" i="216"/>
  <c r="AA62" i="216"/>
  <c r="Z62" i="216"/>
  <c r="Z97" i="216"/>
  <c r="AB97" i="216"/>
  <c r="Y97" i="216"/>
  <c r="AA97" i="216"/>
  <c r="Z14" i="216"/>
  <c r="AB14" i="216"/>
  <c r="Z29" i="216"/>
  <c r="AB29" i="216"/>
  <c r="AA29" i="216"/>
  <c r="Y29" i="216"/>
  <c r="Y23" i="216"/>
  <c r="AA23" i="216"/>
  <c r="Z23" i="216"/>
  <c r="AB23" i="216"/>
  <c r="AA46" i="216"/>
  <c r="AB46" i="216"/>
  <c r="Y46" i="216"/>
  <c r="Z46" i="216"/>
  <c r="AB64" i="216"/>
  <c r="Y64" i="216"/>
  <c r="AA64" i="216"/>
  <c r="Z64" i="216"/>
  <c r="AA58" i="216"/>
  <c r="Z58" i="216"/>
  <c r="AB58" i="216"/>
  <c r="Y58" i="216"/>
  <c r="AA52" i="216"/>
  <c r="AB52" i="216"/>
  <c r="Z52" i="216"/>
  <c r="Y52" i="216"/>
  <c r="AB74" i="216"/>
  <c r="AA74" i="216"/>
  <c r="Z74" i="216"/>
  <c r="Y74" i="216"/>
  <c r="AB105" i="216"/>
  <c r="Y105" i="216"/>
  <c r="AA105" i="216"/>
  <c r="Z105" i="216"/>
  <c r="AA99" i="216"/>
  <c r="Y99" i="216"/>
  <c r="Z99" i="216"/>
  <c r="AB99" i="216"/>
  <c r="AB93" i="216"/>
  <c r="Y93" i="216"/>
  <c r="AA93" i="216"/>
  <c r="Z93" i="216"/>
  <c r="AA87" i="216"/>
  <c r="Z87" i="216"/>
  <c r="Y87" i="216"/>
  <c r="AB87" i="216"/>
  <c r="AA131" i="216"/>
  <c r="Z131" i="216"/>
  <c r="AB131" i="216"/>
  <c r="Y131" i="216"/>
  <c r="Y124" i="216"/>
  <c r="AA124" i="216"/>
  <c r="Z124" i="216"/>
  <c r="AB124" i="216"/>
  <c r="Z118" i="216"/>
  <c r="AA118" i="216"/>
  <c r="AB118" i="216"/>
  <c r="Y118" i="216"/>
  <c r="J887" i="57"/>
  <c r="J847" i="57"/>
  <c r="J877" i="57"/>
  <c r="F880" i="57"/>
  <c r="G880" i="57" s="1"/>
  <c r="F888" i="57"/>
  <c r="G888" i="57" s="1"/>
  <c r="K74" i="218"/>
  <c r="J74" i="218"/>
  <c r="K71" i="218"/>
  <c r="K69" i="218"/>
  <c r="J71" i="218"/>
  <c r="J879" i="57"/>
  <c r="K70" i="218"/>
  <c r="J70" i="218"/>
  <c r="J67" i="218"/>
  <c r="J859" i="57"/>
  <c r="J865" i="57"/>
  <c r="L865" i="57" s="1"/>
  <c r="J894" i="57"/>
  <c r="K910" i="57"/>
  <c r="J871" i="57"/>
  <c r="K895" i="57"/>
  <c r="K72" i="218"/>
  <c r="J895" i="57"/>
  <c r="J72" i="218"/>
  <c r="K903" i="57"/>
  <c r="L903" i="57" s="1"/>
  <c r="J896" i="57"/>
  <c r="J904" i="57"/>
  <c r="K73" i="218"/>
  <c r="K896" i="57"/>
  <c r="K904" i="57"/>
  <c r="J73" i="218"/>
  <c r="J897" i="57"/>
  <c r="L897" i="57" s="1"/>
  <c r="J908" i="57"/>
  <c r="K859" i="57"/>
  <c r="K67" i="218"/>
  <c r="K863" i="57"/>
  <c r="L863" i="57" s="1"/>
  <c r="K908" i="57"/>
  <c r="K909" i="57"/>
  <c r="J910" i="57"/>
  <c r="J912" i="57"/>
  <c r="K902" i="57"/>
  <c r="K912" i="57"/>
  <c r="K864" i="57"/>
  <c r="J888" i="57"/>
  <c r="L888" i="57" s="1"/>
  <c r="K893" i="57"/>
  <c r="K880" i="57"/>
  <c r="K881" i="57"/>
  <c r="L881" i="57" s="1"/>
  <c r="K878" i="57"/>
  <c r="J911" i="57"/>
  <c r="L911" i="57" s="1"/>
  <c r="J901" i="57"/>
  <c r="L901" i="57" s="1"/>
  <c r="K887" i="57"/>
  <c r="K889" i="57"/>
  <c r="L889" i="57" s="1"/>
  <c r="K886" i="57"/>
  <c r="K885" i="57"/>
  <c r="K871" i="57"/>
  <c r="J909" i="57"/>
  <c r="J902" i="57"/>
  <c r="K877" i="57"/>
  <c r="J893" i="57"/>
  <c r="K894" i="57"/>
  <c r="J878" i="57"/>
  <c r="K869" i="57"/>
  <c r="J886" i="57"/>
  <c r="J870" i="57"/>
  <c r="J885" i="57"/>
  <c r="D857" i="57"/>
  <c r="K857" i="57" s="1"/>
  <c r="J855" i="57"/>
  <c r="D849" i="57"/>
  <c r="D858" i="57"/>
  <c r="D856" i="57"/>
  <c r="J864" i="57"/>
  <c r="AC10" i="216" l="1"/>
  <c r="AJ10" i="216" s="1"/>
  <c r="L873" i="57"/>
  <c r="L855" i="57"/>
  <c r="AA7" i="216"/>
  <c r="AH7" i="216" s="1"/>
  <c r="I1026" i="57"/>
  <c r="G1023" i="57" s="1"/>
  <c r="H1026" i="57"/>
  <c r="F1023" i="57" s="1"/>
  <c r="I1005" i="57"/>
  <c r="G1002" i="57" s="1"/>
  <c r="H1005" i="57"/>
  <c r="F1002" i="57" s="1"/>
  <c r="H998" i="57"/>
  <c r="F995" i="57" s="1"/>
  <c r="I998" i="57"/>
  <c r="G995" i="57" s="1"/>
  <c r="I1019" i="57"/>
  <c r="G1016" i="57" s="1"/>
  <c r="H1019" i="57"/>
  <c r="F1016" i="57" s="1"/>
  <c r="L1016" i="57" s="1"/>
  <c r="I983" i="57"/>
  <c r="G980" i="57" s="1"/>
  <c r="H983" i="57"/>
  <c r="F980" i="57" s="1"/>
  <c r="H1012" i="57"/>
  <c r="F1009" i="57" s="1"/>
  <c r="I1012" i="57"/>
  <c r="G1009" i="57" s="1"/>
  <c r="H1075" i="57"/>
  <c r="F1072" i="57" s="1"/>
  <c r="I1075" i="57"/>
  <c r="G1072" i="57" s="1"/>
  <c r="I975" i="57"/>
  <c r="G972" i="57" s="1"/>
  <c r="H975" i="57"/>
  <c r="F972" i="57" s="1"/>
  <c r="H991" i="57"/>
  <c r="F988" i="57" s="1"/>
  <c r="I991" i="57"/>
  <c r="G988" i="57" s="1"/>
  <c r="I967" i="57"/>
  <c r="G964" i="57" s="1"/>
  <c r="H967" i="57"/>
  <c r="F964" i="57" s="1"/>
  <c r="L869" i="57"/>
  <c r="AB19" i="216"/>
  <c r="AI19" i="216" s="1"/>
  <c r="Y39" i="216"/>
  <c r="AF39" i="216" s="1"/>
  <c r="AA10" i="216"/>
  <c r="AH10" i="216" s="1"/>
  <c r="AA71" i="216"/>
  <c r="AH71" i="216" s="1"/>
  <c r="AA19" i="216"/>
  <c r="AH19" i="216" s="1"/>
  <c r="Y10" i="216"/>
  <c r="AF10" i="216" s="1"/>
  <c r="AA111" i="216"/>
  <c r="AH111" i="216" s="1"/>
  <c r="Y19" i="216"/>
  <c r="AF19" i="216" s="1"/>
  <c r="Z111" i="216"/>
  <c r="AG111" i="216" s="1"/>
  <c r="Z39" i="216"/>
  <c r="AG39" i="216" s="1"/>
  <c r="Z10" i="216"/>
  <c r="AG10" i="216" s="1"/>
  <c r="AA39" i="216"/>
  <c r="AH39" i="216" s="1"/>
  <c r="Z49" i="216"/>
  <c r="AG49" i="216" s="1"/>
  <c r="AA78" i="216"/>
  <c r="AH78" i="216" s="1"/>
  <c r="L870" i="57"/>
  <c r="L904" i="57"/>
  <c r="L878" i="57"/>
  <c r="L887" i="57"/>
  <c r="L895" i="57"/>
  <c r="L893" i="57"/>
  <c r="L877" i="57"/>
  <c r="L916" i="57"/>
  <c r="L920" i="57"/>
  <c r="L917" i="57"/>
  <c r="L859" i="57"/>
  <c r="Y49" i="216"/>
  <c r="AF49" i="216" s="1"/>
  <c r="Y71" i="216"/>
  <c r="AF71" i="216" s="1"/>
  <c r="Z19" i="216"/>
  <c r="AG19" i="216" s="1"/>
  <c r="Z71" i="216"/>
  <c r="AG71" i="216" s="1"/>
  <c r="Z78" i="216"/>
  <c r="AG78" i="216" s="1"/>
  <c r="Y78" i="216"/>
  <c r="AF78" i="216" s="1"/>
  <c r="AA49" i="216"/>
  <c r="AH49" i="216" s="1"/>
  <c r="Y111" i="216"/>
  <c r="AF111" i="216" s="1"/>
  <c r="L912" i="57"/>
  <c r="L896" i="57"/>
  <c r="L908" i="57"/>
  <c r="L919" i="57"/>
  <c r="L902" i="57"/>
  <c r="L864" i="57"/>
  <c r="L909" i="57"/>
  <c r="L894" i="57"/>
  <c r="L885" i="57"/>
  <c r="L886" i="57"/>
  <c r="J857" i="57"/>
  <c r="L857" i="57" s="1"/>
  <c r="K856" i="57"/>
  <c r="J856" i="57"/>
  <c r="K858" i="57"/>
  <c r="J858" i="57"/>
  <c r="L980" i="57" l="1"/>
  <c r="L84" i="218" s="1"/>
  <c r="AC6" i="216"/>
  <c r="AC3" i="216" s="1"/>
  <c r="L1002" i="57"/>
  <c r="L87" i="218" s="1"/>
  <c r="L972" i="57"/>
  <c r="L83" i="218" s="1"/>
  <c r="L1072" i="57"/>
  <c r="L97" i="218" s="1"/>
  <c r="L1023" i="57"/>
  <c r="L90" i="218" s="1"/>
  <c r="L988" i="57"/>
  <c r="L85" i="218" s="1"/>
  <c r="L1009" i="57"/>
  <c r="L88" i="218" s="1"/>
  <c r="L995" i="57"/>
  <c r="L86" i="218" s="1"/>
  <c r="F82" i="218"/>
  <c r="L964" i="57"/>
  <c r="L82" i="218" s="1"/>
  <c r="F83" i="218"/>
  <c r="H972" i="57"/>
  <c r="H83" i="218" s="1"/>
  <c r="F87" i="218"/>
  <c r="H1002" i="57"/>
  <c r="H87" i="218" s="1"/>
  <c r="I1009" i="57"/>
  <c r="I88" i="218" s="1"/>
  <c r="G88" i="218"/>
  <c r="F84" i="218"/>
  <c r="H980" i="57"/>
  <c r="H84" i="218" s="1"/>
  <c r="I988" i="57"/>
  <c r="I85" i="218" s="1"/>
  <c r="G85" i="218"/>
  <c r="I995" i="57"/>
  <c r="I86" i="218" s="1"/>
  <c r="G86" i="218"/>
  <c r="F86" i="218"/>
  <c r="H995" i="57"/>
  <c r="H86" i="218" s="1"/>
  <c r="I1016" i="57"/>
  <c r="I89" i="218" s="1"/>
  <c r="G89" i="218"/>
  <c r="F85" i="218"/>
  <c r="H988" i="57"/>
  <c r="H85" i="218" s="1"/>
  <c r="I972" i="57"/>
  <c r="I83" i="218" s="1"/>
  <c r="G83" i="218"/>
  <c r="I1072" i="57"/>
  <c r="I97" i="218" s="1"/>
  <c r="G97" i="218"/>
  <c r="F90" i="218"/>
  <c r="H1023" i="57"/>
  <c r="H90" i="218" s="1"/>
  <c r="F88" i="218"/>
  <c r="H1009" i="57"/>
  <c r="H88" i="218" s="1"/>
  <c r="I980" i="57"/>
  <c r="I84" i="218" s="1"/>
  <c r="G84" i="218"/>
  <c r="F89" i="218"/>
  <c r="H1016" i="57"/>
  <c r="H89" i="218" s="1"/>
  <c r="L89" i="218"/>
  <c r="I964" i="57"/>
  <c r="I82" i="218" s="1"/>
  <c r="G82" i="218"/>
  <c r="I1002" i="57"/>
  <c r="I87" i="218" s="1"/>
  <c r="G87" i="218"/>
  <c r="F97" i="218"/>
  <c r="H1072" i="57"/>
  <c r="H97" i="218" s="1"/>
  <c r="I1023" i="57"/>
  <c r="I90" i="218" s="1"/>
  <c r="G90" i="218"/>
  <c r="H964" i="57"/>
  <c r="H82" i="218" s="1"/>
  <c r="AA6" i="216"/>
  <c r="Y6" i="216"/>
  <c r="Y3" i="216" s="1"/>
  <c r="Z6" i="216"/>
  <c r="Z3" i="216" s="1"/>
  <c r="L856" i="57"/>
  <c r="L858" i="57"/>
  <c r="AA3" i="216" l="1"/>
  <c r="D844" i="57"/>
  <c r="D66" i="218" s="1"/>
  <c r="D850" i="57"/>
  <c r="C850" i="57"/>
  <c r="K851" i="57"/>
  <c r="J851" i="57"/>
  <c r="C851" i="57"/>
  <c r="D848" i="57"/>
  <c r="C848" i="57"/>
  <c r="K847" i="57"/>
  <c r="C847" i="57"/>
  <c r="K843" i="57"/>
  <c r="J843" i="57"/>
  <c r="K841" i="57"/>
  <c r="J841" i="57"/>
  <c r="K837" i="57"/>
  <c r="J837" i="57"/>
  <c r="K835" i="57"/>
  <c r="J835" i="57"/>
  <c r="C843" i="57"/>
  <c r="D842" i="57"/>
  <c r="K842" i="57" s="1"/>
  <c r="C842" i="57"/>
  <c r="C841" i="57"/>
  <c r="D838" i="57"/>
  <c r="D65" i="218" s="1"/>
  <c r="D836" i="57"/>
  <c r="K836" i="57" s="1"/>
  <c r="C837" i="57"/>
  <c r="C836" i="57"/>
  <c r="C835" i="57"/>
  <c r="D832" i="57"/>
  <c r="D64" i="218" s="1"/>
  <c r="F11" i="217"/>
  <c r="E11" i="217"/>
  <c r="I174" i="1"/>
  <c r="L174" i="1"/>
  <c r="L103" i="1"/>
  <c r="N103" i="1" s="1"/>
  <c r="I103" i="1"/>
  <c r="K826" i="57"/>
  <c r="K63" i="218" s="1"/>
  <c r="J826" i="57"/>
  <c r="J63" i="218" s="1"/>
  <c r="K820" i="57"/>
  <c r="K62" i="218" s="1"/>
  <c r="J820" i="57"/>
  <c r="J62" i="218" s="1"/>
  <c r="K807" i="57"/>
  <c r="K61" i="218" s="1"/>
  <c r="J807" i="57"/>
  <c r="J61" i="218" s="1"/>
  <c r="K794" i="57"/>
  <c r="K60" i="218" s="1"/>
  <c r="J794" i="57"/>
  <c r="J60" i="218" s="1"/>
  <c r="K781" i="57"/>
  <c r="J781" i="57"/>
  <c r="K763" i="57"/>
  <c r="K58" i="218" s="1"/>
  <c r="J763" i="57"/>
  <c r="J58" i="218" s="1"/>
  <c r="K745" i="57"/>
  <c r="K57" i="218" s="1"/>
  <c r="J745" i="57"/>
  <c r="J57" i="218" s="1"/>
  <c r="K727" i="57"/>
  <c r="K56" i="218" s="1"/>
  <c r="J727" i="57"/>
  <c r="J56" i="218" s="1"/>
  <c r="K709" i="57"/>
  <c r="K55" i="218" s="1"/>
  <c r="J709" i="57"/>
  <c r="J55" i="218" s="1"/>
  <c r="K690" i="57"/>
  <c r="K54" i="218" s="1"/>
  <c r="J690" i="57"/>
  <c r="J54" i="218" s="1"/>
  <c r="K672" i="57"/>
  <c r="K53" i="218" s="1"/>
  <c r="J672" i="57"/>
  <c r="J53" i="218" s="1"/>
  <c r="K654" i="57"/>
  <c r="K52" i="218" s="1"/>
  <c r="K636" i="57"/>
  <c r="K51" i="218" s="1"/>
  <c r="J654" i="57"/>
  <c r="J52" i="218" s="1"/>
  <c r="J636" i="57"/>
  <c r="J51" i="218" s="1"/>
  <c r="K618" i="57"/>
  <c r="K50" i="218" s="1"/>
  <c r="J618" i="57"/>
  <c r="J50" i="218" s="1"/>
  <c r="K600" i="57"/>
  <c r="K49" i="218" s="1"/>
  <c r="J600" i="57"/>
  <c r="J49" i="218" s="1"/>
  <c r="K581" i="57"/>
  <c r="K48" i="218" s="1"/>
  <c r="J581" i="57"/>
  <c r="J48" i="218" s="1"/>
  <c r="K563" i="57"/>
  <c r="K47" i="218" s="1"/>
  <c r="J563" i="57"/>
  <c r="J47" i="218" s="1"/>
  <c r="K547" i="57"/>
  <c r="K46" i="218" s="1"/>
  <c r="J547" i="57"/>
  <c r="J46" i="218" s="1"/>
  <c r="K531" i="57"/>
  <c r="K45" i="218" s="1"/>
  <c r="J531" i="57"/>
  <c r="J45" i="218" s="1"/>
  <c r="K515" i="57"/>
  <c r="K44" i="218" s="1"/>
  <c r="J515" i="57"/>
  <c r="J44" i="218" s="1"/>
  <c r="K499" i="57"/>
  <c r="K43" i="218" s="1"/>
  <c r="J499" i="57"/>
  <c r="J43" i="218" s="1"/>
  <c r="K482" i="57"/>
  <c r="K42" i="218" s="1"/>
  <c r="J482" i="57"/>
  <c r="J42" i="218" s="1"/>
  <c r="K466" i="57"/>
  <c r="K41" i="218" s="1"/>
  <c r="J466" i="57"/>
  <c r="J41" i="218" s="1"/>
  <c r="K448" i="57"/>
  <c r="K40" i="218" s="1"/>
  <c r="J448" i="57"/>
  <c r="J40" i="218" s="1"/>
  <c r="K430" i="57"/>
  <c r="K39" i="218" s="1"/>
  <c r="J430" i="57"/>
  <c r="J39" i="218" s="1"/>
  <c r="K412" i="57"/>
  <c r="K38" i="218" s="1"/>
  <c r="J412" i="57"/>
  <c r="J38" i="218" s="1"/>
  <c r="K394" i="57"/>
  <c r="K37" i="218" s="1"/>
  <c r="K375" i="57"/>
  <c r="K36" i="218" s="1"/>
  <c r="J394" i="57"/>
  <c r="J37" i="218" s="1"/>
  <c r="J375" i="57"/>
  <c r="J36" i="218" s="1"/>
  <c r="K357" i="57"/>
  <c r="K35" i="218" s="1"/>
  <c r="J357" i="57"/>
  <c r="J35" i="218" s="1"/>
  <c r="K339" i="57"/>
  <c r="K34" i="218" s="1"/>
  <c r="J339" i="57"/>
  <c r="J34" i="218" s="1"/>
  <c r="K321" i="57"/>
  <c r="K33" i="218" s="1"/>
  <c r="J321" i="57"/>
  <c r="J33" i="218" s="1"/>
  <c r="K303" i="57"/>
  <c r="K32" i="218" s="1"/>
  <c r="J303" i="57"/>
  <c r="J32" i="218" s="1"/>
  <c r="K285" i="57"/>
  <c r="K31" i="218" s="1"/>
  <c r="J285" i="57"/>
  <c r="J31" i="218" s="1"/>
  <c r="K266" i="57"/>
  <c r="K30" i="218" s="1"/>
  <c r="J266" i="57"/>
  <c r="J30" i="218" s="1"/>
  <c r="K248" i="57"/>
  <c r="K29" i="218" s="1"/>
  <c r="J248" i="57"/>
  <c r="J29" i="218" s="1"/>
  <c r="K232" i="57"/>
  <c r="K28" i="218" s="1"/>
  <c r="J232" i="57"/>
  <c r="J28" i="218" s="1"/>
  <c r="K216" i="57"/>
  <c r="K27" i="218" s="1"/>
  <c r="J216" i="57"/>
  <c r="J27" i="218" s="1"/>
  <c r="K200" i="57"/>
  <c r="K26" i="218" s="1"/>
  <c r="J200" i="57"/>
  <c r="J26" i="218" s="1"/>
  <c r="K184" i="57"/>
  <c r="K25" i="218" s="1"/>
  <c r="J184" i="57"/>
  <c r="J25" i="218" s="1"/>
  <c r="K167" i="57"/>
  <c r="K24" i="218" s="1"/>
  <c r="J167" i="57"/>
  <c r="J24" i="218" s="1"/>
  <c r="K151" i="57"/>
  <c r="K23" i="218" s="1"/>
  <c r="J151" i="57"/>
  <c r="J23" i="218" s="1"/>
  <c r="K140" i="57"/>
  <c r="K22" i="218" s="1"/>
  <c r="J140" i="57"/>
  <c r="J22" i="218" s="1"/>
  <c r="K129" i="57"/>
  <c r="K21" i="218" s="1"/>
  <c r="J129" i="57"/>
  <c r="J21" i="218" s="1"/>
  <c r="K118" i="57"/>
  <c r="K20" i="218" s="1"/>
  <c r="J118" i="57"/>
  <c r="J20" i="218" s="1"/>
  <c r="K106" i="57"/>
  <c r="K19" i="218" s="1"/>
  <c r="J106" i="57"/>
  <c r="J19" i="218" s="1"/>
  <c r="K94" i="57"/>
  <c r="K18" i="218" s="1"/>
  <c r="J94" i="57"/>
  <c r="J18" i="218" s="1"/>
  <c r="K83" i="57"/>
  <c r="K17" i="218" s="1"/>
  <c r="J83" i="57"/>
  <c r="J17" i="218" s="1"/>
  <c r="K62" i="57"/>
  <c r="J62" i="57"/>
  <c r="K52" i="57"/>
  <c r="K15" i="218" s="1"/>
  <c r="K42" i="57"/>
  <c r="K14" i="218" s="1"/>
  <c r="J52" i="57"/>
  <c r="J15" i="218" s="1"/>
  <c r="J42" i="57"/>
  <c r="J14" i="218" s="1"/>
  <c r="K31" i="57"/>
  <c r="K13" i="218" s="1"/>
  <c r="J31" i="57"/>
  <c r="J13" i="218" s="1"/>
  <c r="K20" i="57"/>
  <c r="K12" i="218" s="1"/>
  <c r="J20" i="57"/>
  <c r="K10" i="57"/>
  <c r="K11" i="218" s="1"/>
  <c r="J10" i="57"/>
  <c r="J11" i="218" s="1"/>
  <c r="J80" i="57" l="1"/>
  <c r="J82" i="57"/>
  <c r="J81" i="57"/>
  <c r="J79" i="57"/>
  <c r="K78" i="57"/>
  <c r="K80" i="57"/>
  <c r="K81" i="57"/>
  <c r="K79" i="57"/>
  <c r="L79" i="57" s="1"/>
  <c r="J16" i="218"/>
  <c r="J78" i="57"/>
  <c r="L78" i="57" s="1"/>
  <c r="J75" i="57"/>
  <c r="J76" i="57"/>
  <c r="J77" i="57"/>
  <c r="K16" i="218"/>
  <c r="K82" i="57"/>
  <c r="K76" i="57"/>
  <c r="K75" i="57"/>
  <c r="K77" i="57"/>
  <c r="H93" i="217"/>
  <c r="H97" i="217"/>
  <c r="H41" i="217"/>
  <c r="H42" i="217"/>
  <c r="H43" i="217"/>
  <c r="H44" i="217"/>
  <c r="H45" i="217"/>
  <c r="H46" i="217"/>
  <c r="H59" i="217"/>
  <c r="H47" i="217"/>
  <c r="H60" i="217"/>
  <c r="H30" i="217"/>
  <c r="H48" i="217"/>
  <c r="H61" i="217"/>
  <c r="H31" i="217"/>
  <c r="H49" i="217"/>
  <c r="H62" i="217"/>
  <c r="H32" i="217"/>
  <c r="H50" i="217"/>
  <c r="H63" i="217"/>
  <c r="H33" i="217"/>
  <c r="H51" i="217"/>
  <c r="H64" i="217"/>
  <c r="H34" i="217"/>
  <c r="H52" i="217"/>
  <c r="H65" i="217"/>
  <c r="H35" i="217"/>
  <c r="H53" i="217"/>
  <c r="H36" i="217"/>
  <c r="H54" i="217"/>
  <c r="H37" i="217"/>
  <c r="H55" i="217"/>
  <c r="H38" i="217"/>
  <c r="H56" i="217"/>
  <c r="H39" i="217"/>
  <c r="H57" i="217"/>
  <c r="H40" i="217"/>
  <c r="H58" i="217"/>
  <c r="H122" i="217"/>
  <c r="H116" i="217"/>
  <c r="H110" i="217"/>
  <c r="H104" i="217"/>
  <c r="H98" i="217"/>
  <c r="H90" i="217"/>
  <c r="H84" i="217"/>
  <c r="H78" i="217"/>
  <c r="H72" i="217"/>
  <c r="H66" i="217"/>
  <c r="H28" i="217"/>
  <c r="H22" i="217"/>
  <c r="H16" i="217"/>
  <c r="H121" i="217"/>
  <c r="H115" i="217"/>
  <c r="H109" i="217"/>
  <c r="H103" i="217"/>
  <c r="H96" i="217"/>
  <c r="H89" i="217"/>
  <c r="H83" i="217"/>
  <c r="H77" i="217"/>
  <c r="H71" i="217"/>
  <c r="H27" i="217"/>
  <c r="H21" i="217"/>
  <c r="H15" i="217"/>
  <c r="H120" i="217"/>
  <c r="H108" i="217"/>
  <c r="H95" i="217"/>
  <c r="H82" i="217"/>
  <c r="H114" i="217"/>
  <c r="H102" i="217"/>
  <c r="H88" i="217"/>
  <c r="H70" i="217"/>
  <c r="H26" i="217"/>
  <c r="H20" i="217"/>
  <c r="H14" i="217"/>
  <c r="H119" i="217"/>
  <c r="H113" i="217"/>
  <c r="H107" i="217"/>
  <c r="H101" i="217"/>
  <c r="H94" i="217"/>
  <c r="H87" i="217"/>
  <c r="H81" i="217"/>
  <c r="H75" i="217"/>
  <c r="H69" i="217"/>
  <c r="H25" i="217"/>
  <c r="H19" i="217"/>
  <c r="H118" i="217"/>
  <c r="H112" i="217"/>
  <c r="H106" i="217"/>
  <c r="H100" i="217"/>
  <c r="H92" i="217"/>
  <c r="H86" i="217"/>
  <c r="H80" i="217"/>
  <c r="H67" i="217"/>
  <c r="H23" i="217"/>
  <c r="H91" i="217"/>
  <c r="H105" i="217"/>
  <c r="H76" i="217"/>
  <c r="H117" i="217"/>
  <c r="H74" i="217"/>
  <c r="H18" i="217"/>
  <c r="H85" i="217"/>
  <c r="H73" i="217"/>
  <c r="H29" i="217"/>
  <c r="H17" i="217"/>
  <c r="H99" i="217"/>
  <c r="H111" i="217"/>
  <c r="H68" i="217"/>
  <c r="H79" i="217"/>
  <c r="H24" i="217"/>
  <c r="J59" i="218"/>
  <c r="L930" i="57"/>
  <c r="L934" i="57"/>
  <c r="L936" i="57"/>
  <c r="L931" i="57"/>
  <c r="L935" i="57"/>
  <c r="K59" i="218"/>
  <c r="L937" i="57"/>
  <c r="J12" i="218"/>
  <c r="J29" i="57"/>
  <c r="L29" i="57" s="1"/>
  <c r="K830" i="57"/>
  <c r="K831" i="57"/>
  <c r="K829" i="57"/>
  <c r="J831" i="57"/>
  <c r="J830" i="57"/>
  <c r="J829" i="57"/>
  <c r="N174" i="1"/>
  <c r="F865" i="57"/>
  <c r="G865" i="57" s="1"/>
  <c r="L851" i="57"/>
  <c r="L841" i="57"/>
  <c r="L843" i="57"/>
  <c r="F843" i="57"/>
  <c r="G843" i="57" s="1"/>
  <c r="F837" i="57"/>
  <c r="G837" i="57" s="1"/>
  <c r="J842" i="57"/>
  <c r="L842" i="57" s="1"/>
  <c r="J836" i="57"/>
  <c r="K848" i="57"/>
  <c r="J848" i="57"/>
  <c r="L847" i="57"/>
  <c r="L837" i="57"/>
  <c r="L81" i="57" l="1"/>
  <c r="L80" i="57"/>
  <c r="L77" i="57"/>
  <c r="L76" i="57"/>
  <c r="L75" i="57"/>
  <c r="L82" i="57"/>
  <c r="L932" i="57"/>
  <c r="L929" i="57"/>
  <c r="L933" i="57"/>
  <c r="L848" i="57"/>
  <c r="L835" i="57"/>
  <c r="L836" i="57"/>
  <c r="J35" i="57" l="1"/>
  <c r="K35" i="57"/>
  <c r="J37" i="57"/>
  <c r="K37" i="57"/>
  <c r="J39" i="57"/>
  <c r="K39" i="57"/>
  <c r="J41" i="57"/>
  <c r="K41" i="57"/>
  <c r="J48" i="57"/>
  <c r="K48" i="57"/>
  <c r="K51" i="57"/>
  <c r="J61" i="57"/>
  <c r="J58" i="57"/>
  <c r="K58" i="57"/>
  <c r="K61" i="57"/>
  <c r="AB142" i="216"/>
  <c r="F141" i="216"/>
  <c r="H141" i="216" s="1" a="1"/>
  <c r="H141" i="216" s="1"/>
  <c r="F140" i="216"/>
  <c r="H140" i="216" s="1" a="1"/>
  <c r="H140" i="216" s="1"/>
  <c r="F139" i="216"/>
  <c r="H139" i="216" s="1" a="1"/>
  <c r="H139" i="216" s="1"/>
  <c r="F138" i="216"/>
  <c r="H138" i="216" s="1" a="1"/>
  <c r="H138" i="216" s="1"/>
  <c r="F137" i="216"/>
  <c r="H137" i="216" s="1" a="1"/>
  <c r="H137" i="216" s="1"/>
  <c r="Y137" i="216" s="1"/>
  <c r="F136" i="216"/>
  <c r="H136" i="216" s="1" a="1"/>
  <c r="H136" i="216" s="1"/>
  <c r="Y136" i="216" s="1"/>
  <c r="AC140" i="216" l="1"/>
  <c r="Y140" i="216"/>
  <c r="AC141" i="216"/>
  <c r="Y141" i="216"/>
  <c r="AC138" i="216"/>
  <c r="Y138" i="216"/>
  <c r="AC139" i="216"/>
  <c r="Y139" i="216"/>
  <c r="AC136" i="216"/>
  <c r="AC137" i="216"/>
  <c r="AB140" i="216"/>
  <c r="Z140" i="216"/>
  <c r="AA140" i="216"/>
  <c r="AB141" i="216"/>
  <c r="AA141" i="216"/>
  <c r="AA136" i="216"/>
  <c r="AB136" i="216"/>
  <c r="Z136" i="216"/>
  <c r="AB137" i="216"/>
  <c r="Z137" i="216"/>
  <c r="AA137" i="216"/>
  <c r="AB138" i="216"/>
  <c r="Z138" i="216"/>
  <c r="AA138" i="216"/>
  <c r="AB139" i="216"/>
  <c r="Z139" i="216"/>
  <c r="AA139" i="216"/>
  <c r="Z141" i="216"/>
  <c r="AB36" i="216"/>
  <c r="AI36" i="216" s="1"/>
  <c r="AB111" i="216"/>
  <c r="AI111" i="216" s="1"/>
  <c r="AB39" i="216"/>
  <c r="AI39" i="216" s="1"/>
  <c r="AB78" i="216"/>
  <c r="AI78" i="216" s="1"/>
  <c r="AB71" i="216"/>
  <c r="AI71" i="216" s="1"/>
  <c r="AB7" i="216"/>
  <c r="AI7" i="216" s="1"/>
  <c r="J51" i="57"/>
  <c r="AB10" i="216"/>
  <c r="AI10" i="216" s="1"/>
  <c r="AB49" i="216"/>
  <c r="AI49" i="216" s="1"/>
  <c r="AC135" i="216" l="1"/>
  <c r="AB135" i="216"/>
  <c r="AI135" i="216" s="1"/>
  <c r="Z135" i="216"/>
  <c r="AG135" i="216" s="1"/>
  <c r="Y135" i="216"/>
  <c r="AF135" i="216" s="1"/>
  <c r="AA135" i="216"/>
  <c r="AH135" i="216" s="1"/>
  <c r="AB6" i="216"/>
  <c r="AB3" i="216" s="1"/>
  <c r="C831" i="57"/>
  <c r="C830" i="57"/>
  <c r="C829" i="57"/>
  <c r="D826" i="57"/>
  <c r="D63" i="218" s="1"/>
  <c r="J825" i="57"/>
  <c r="K825" i="57"/>
  <c r="K824" i="57"/>
  <c r="J824" i="57"/>
  <c r="K823" i="57"/>
  <c r="J823" i="57"/>
  <c r="C825" i="57"/>
  <c r="C824" i="57"/>
  <c r="C823" i="57"/>
  <c r="D820" i="57"/>
  <c r="D62" i="218" s="1"/>
  <c r="K819" i="57"/>
  <c r="J819" i="57"/>
  <c r="K818" i="57"/>
  <c r="J818" i="57"/>
  <c r="K817" i="57"/>
  <c r="J817" i="57"/>
  <c r="K815" i="57"/>
  <c r="J815" i="57"/>
  <c r="K814" i="57"/>
  <c r="J814" i="57"/>
  <c r="K813" i="57"/>
  <c r="J813" i="57"/>
  <c r="K812" i="57"/>
  <c r="J812" i="57"/>
  <c r="K811" i="57"/>
  <c r="J811" i="57"/>
  <c r="K810" i="57"/>
  <c r="J810" i="57"/>
  <c r="C819" i="57"/>
  <c r="C818" i="57"/>
  <c r="C817" i="57"/>
  <c r="D816" i="57"/>
  <c r="C816" i="57"/>
  <c r="C815" i="57"/>
  <c r="C814" i="57"/>
  <c r="C813" i="57"/>
  <c r="C812" i="57"/>
  <c r="C811" i="57"/>
  <c r="C810" i="57"/>
  <c r="D807" i="57"/>
  <c r="D61" i="218" s="1"/>
  <c r="K806" i="57"/>
  <c r="J806" i="57"/>
  <c r="K805" i="57"/>
  <c r="J805" i="57"/>
  <c r="K804" i="57"/>
  <c r="J804" i="57"/>
  <c r="K802" i="57"/>
  <c r="J802" i="57"/>
  <c r="K801" i="57"/>
  <c r="J801" i="57"/>
  <c r="K800" i="57"/>
  <c r="J800" i="57"/>
  <c r="K799" i="57"/>
  <c r="J799" i="57"/>
  <c r="K798" i="57"/>
  <c r="J798" i="57"/>
  <c r="K797" i="57"/>
  <c r="J797" i="57"/>
  <c r="K792" i="57"/>
  <c r="J792" i="57"/>
  <c r="K791" i="57"/>
  <c r="J791" i="57"/>
  <c r="K789" i="57"/>
  <c r="J789" i="57"/>
  <c r="K788" i="57"/>
  <c r="J788" i="57"/>
  <c r="K787" i="57"/>
  <c r="J787" i="57"/>
  <c r="K786" i="57"/>
  <c r="J786" i="57"/>
  <c r="K785" i="57"/>
  <c r="J785" i="57"/>
  <c r="K784" i="57"/>
  <c r="J784" i="57"/>
  <c r="C806" i="57"/>
  <c r="C805" i="57"/>
  <c r="C804" i="57"/>
  <c r="D803" i="57"/>
  <c r="K803" i="57" s="1"/>
  <c r="C803" i="57"/>
  <c r="C802" i="57"/>
  <c r="C801" i="57"/>
  <c r="C800" i="57"/>
  <c r="C799" i="57"/>
  <c r="C798" i="57"/>
  <c r="C797" i="57"/>
  <c r="D794" i="57"/>
  <c r="D60" i="218" s="1"/>
  <c r="K793" i="57"/>
  <c r="J793" i="57"/>
  <c r="C793" i="57"/>
  <c r="C792" i="57"/>
  <c r="C791" i="57"/>
  <c r="D790" i="57"/>
  <c r="K790" i="57" s="1"/>
  <c r="C790" i="57"/>
  <c r="C789" i="57"/>
  <c r="C788" i="57"/>
  <c r="C787" i="57"/>
  <c r="C786" i="57"/>
  <c r="C785" i="57"/>
  <c r="C784" i="57"/>
  <c r="D781" i="57"/>
  <c r="D59" i="218" s="1"/>
  <c r="K780" i="57"/>
  <c r="K779" i="57"/>
  <c r="K778" i="57"/>
  <c r="K777" i="57"/>
  <c r="L777" i="57" s="1"/>
  <c r="K776" i="57"/>
  <c r="K775" i="57"/>
  <c r="L775" i="57" s="1"/>
  <c r="J780" i="57"/>
  <c r="J779" i="57"/>
  <c r="J778" i="57"/>
  <c r="J776" i="57"/>
  <c r="J774" i="57"/>
  <c r="L774" i="57" s="1"/>
  <c r="K773" i="57"/>
  <c r="J773" i="57"/>
  <c r="K771" i="57"/>
  <c r="J771" i="57"/>
  <c r="K770" i="57"/>
  <c r="J770" i="57"/>
  <c r="K769" i="57"/>
  <c r="J769" i="57"/>
  <c r="D766" i="57"/>
  <c r="K766" i="57" s="1"/>
  <c r="C780" i="57"/>
  <c r="C779" i="57"/>
  <c r="C778" i="57"/>
  <c r="C777" i="57"/>
  <c r="C776" i="57"/>
  <c r="C775" i="57"/>
  <c r="C774" i="57"/>
  <c r="C773" i="57"/>
  <c r="C772" i="57"/>
  <c r="C771" i="57"/>
  <c r="C770" i="57"/>
  <c r="C769" i="57"/>
  <c r="C768" i="57"/>
  <c r="C767" i="57"/>
  <c r="C766" i="57"/>
  <c r="D763" i="57"/>
  <c r="D58" i="218" s="1"/>
  <c r="K762" i="57"/>
  <c r="K761" i="57"/>
  <c r="K760" i="57"/>
  <c r="K759" i="57"/>
  <c r="L759" i="57" s="1"/>
  <c r="K758" i="57"/>
  <c r="K757" i="57"/>
  <c r="L757" i="57" s="1"/>
  <c r="J762" i="57"/>
  <c r="J761" i="57"/>
  <c r="J760" i="57"/>
  <c r="J758" i="57"/>
  <c r="J756" i="57"/>
  <c r="L756" i="57" s="1"/>
  <c r="K755" i="57"/>
  <c r="J755" i="57"/>
  <c r="K753" i="57"/>
  <c r="J753" i="57"/>
  <c r="K752" i="57"/>
  <c r="J752" i="57"/>
  <c r="K751" i="57"/>
  <c r="J751" i="57"/>
  <c r="D748" i="57"/>
  <c r="K748" i="57" s="1"/>
  <c r="C762" i="57"/>
  <c r="C761" i="57"/>
  <c r="C760" i="57"/>
  <c r="C759" i="57"/>
  <c r="C758" i="57"/>
  <c r="C757" i="57"/>
  <c r="C756" i="57"/>
  <c r="C755" i="57"/>
  <c r="C754" i="57"/>
  <c r="C753" i="57"/>
  <c r="C752" i="57"/>
  <c r="C751" i="57"/>
  <c r="C750" i="57"/>
  <c r="C749" i="57"/>
  <c r="C748" i="57"/>
  <c r="D745" i="57"/>
  <c r="D57" i="218" s="1"/>
  <c r="K744" i="57"/>
  <c r="K743" i="57"/>
  <c r="K742" i="57"/>
  <c r="K741" i="57"/>
  <c r="L741" i="57" s="1"/>
  <c r="K740" i="57"/>
  <c r="K739" i="57"/>
  <c r="L739" i="57" s="1"/>
  <c r="J744" i="57"/>
  <c r="J743" i="57"/>
  <c r="J742" i="57"/>
  <c r="J740" i="57"/>
  <c r="J738" i="57"/>
  <c r="L738" i="57" s="1"/>
  <c r="K737" i="57"/>
  <c r="J737" i="57"/>
  <c r="K735" i="57"/>
  <c r="J735" i="57"/>
  <c r="K734" i="57"/>
  <c r="J734" i="57"/>
  <c r="K733" i="57"/>
  <c r="J733" i="57"/>
  <c r="D730" i="57"/>
  <c r="D731" i="57" s="1"/>
  <c r="K731" i="57" s="1"/>
  <c r="C744" i="57"/>
  <c r="C743" i="57"/>
  <c r="C742" i="57"/>
  <c r="C741" i="57"/>
  <c r="C740" i="57"/>
  <c r="C739" i="57"/>
  <c r="C738" i="57"/>
  <c r="C737" i="57"/>
  <c r="C736" i="57"/>
  <c r="C735" i="57"/>
  <c r="C734" i="57"/>
  <c r="C733" i="57"/>
  <c r="C732" i="57"/>
  <c r="C731" i="57"/>
  <c r="C730" i="57"/>
  <c r="D727" i="57"/>
  <c r="D56" i="218" s="1"/>
  <c r="K726" i="57"/>
  <c r="K725" i="57"/>
  <c r="K724" i="57"/>
  <c r="K723" i="57"/>
  <c r="L723" i="57" s="1"/>
  <c r="K722" i="57"/>
  <c r="K721" i="57"/>
  <c r="L721" i="57" s="1"/>
  <c r="J726" i="57"/>
  <c r="J725" i="57"/>
  <c r="J724" i="57"/>
  <c r="J722" i="57"/>
  <c r="J720" i="57"/>
  <c r="L720" i="57" s="1"/>
  <c r="K719" i="57"/>
  <c r="J719" i="57"/>
  <c r="K717" i="57"/>
  <c r="J717" i="57"/>
  <c r="K716" i="57"/>
  <c r="J716" i="57"/>
  <c r="K715" i="57"/>
  <c r="J715" i="57"/>
  <c r="D712" i="57"/>
  <c r="J712" i="57" s="1"/>
  <c r="C726" i="57"/>
  <c r="C725" i="57"/>
  <c r="C724" i="57"/>
  <c r="C723" i="57"/>
  <c r="C722" i="57"/>
  <c r="C721" i="57"/>
  <c r="C720" i="57"/>
  <c r="C719" i="57"/>
  <c r="C718" i="57"/>
  <c r="C717" i="57"/>
  <c r="C716" i="57"/>
  <c r="C715" i="57"/>
  <c r="C714" i="57"/>
  <c r="C713" i="57"/>
  <c r="C712" i="57"/>
  <c r="D709" i="57"/>
  <c r="D55" i="218" s="1"/>
  <c r="K708" i="57"/>
  <c r="K707" i="57"/>
  <c r="K706" i="57"/>
  <c r="K705" i="57"/>
  <c r="L705" i="57" s="1"/>
  <c r="K704" i="57"/>
  <c r="K703" i="57"/>
  <c r="L703" i="57" s="1"/>
  <c r="J708" i="57"/>
  <c r="J707" i="57"/>
  <c r="J706" i="57"/>
  <c r="J704" i="57"/>
  <c r="J702" i="57"/>
  <c r="L702" i="57" s="1"/>
  <c r="K701" i="57"/>
  <c r="J701" i="57"/>
  <c r="K699" i="57"/>
  <c r="J699" i="57"/>
  <c r="K698" i="57"/>
  <c r="J698" i="57"/>
  <c r="D693" i="57"/>
  <c r="D697" i="57" s="1"/>
  <c r="J697" i="57" s="1"/>
  <c r="C708" i="57"/>
  <c r="C707" i="57"/>
  <c r="C706" i="57"/>
  <c r="C705" i="57"/>
  <c r="C704" i="57"/>
  <c r="C703" i="57"/>
  <c r="C702" i="57"/>
  <c r="C701" i="57"/>
  <c r="F700" i="57"/>
  <c r="C700" i="57"/>
  <c r="C699" i="57"/>
  <c r="C698" i="57"/>
  <c r="C697" i="57"/>
  <c r="C696" i="57"/>
  <c r="C695" i="57"/>
  <c r="C694" i="57"/>
  <c r="C693" i="57"/>
  <c r="D690" i="57"/>
  <c r="D54" i="218" s="1"/>
  <c r="K689" i="57"/>
  <c r="K688" i="57"/>
  <c r="K687" i="57"/>
  <c r="K686" i="57"/>
  <c r="L686" i="57" s="1"/>
  <c r="K685" i="57"/>
  <c r="K684" i="57"/>
  <c r="L684" i="57" s="1"/>
  <c r="J689" i="57"/>
  <c r="J688" i="57"/>
  <c r="J687" i="57"/>
  <c r="J685" i="57"/>
  <c r="J683" i="57"/>
  <c r="L683" i="57" s="1"/>
  <c r="K682" i="57"/>
  <c r="J682" i="57"/>
  <c r="K680" i="57"/>
  <c r="J680" i="57"/>
  <c r="K679" i="57"/>
  <c r="J679" i="57"/>
  <c r="D675" i="57"/>
  <c r="J675" i="57" s="1"/>
  <c r="C689" i="57"/>
  <c r="C688" i="57"/>
  <c r="C687" i="57"/>
  <c r="C686" i="57"/>
  <c r="C685" i="57"/>
  <c r="C684" i="57"/>
  <c r="C683" i="57"/>
  <c r="C682" i="57"/>
  <c r="F681" i="57"/>
  <c r="C681" i="57"/>
  <c r="C680" i="57"/>
  <c r="C679" i="57"/>
  <c r="C678" i="57"/>
  <c r="C677" i="57"/>
  <c r="C676" i="57"/>
  <c r="C675" i="57"/>
  <c r="D672" i="57"/>
  <c r="D53" i="218" s="1"/>
  <c r="K671" i="57"/>
  <c r="K670" i="57"/>
  <c r="L670" i="57" s="1"/>
  <c r="K668" i="57"/>
  <c r="L668" i="57" s="1"/>
  <c r="K667" i="57"/>
  <c r="K666" i="57"/>
  <c r="L666" i="57" s="1"/>
  <c r="J671" i="57"/>
  <c r="J669" i="57"/>
  <c r="L669" i="57" s="1"/>
  <c r="J667" i="57"/>
  <c r="J665" i="57"/>
  <c r="L665" i="57" s="1"/>
  <c r="K664" i="57"/>
  <c r="J664" i="57"/>
  <c r="K662" i="57"/>
  <c r="J662" i="57"/>
  <c r="K661" i="57"/>
  <c r="J661" i="57"/>
  <c r="K660" i="57"/>
  <c r="J660" i="57"/>
  <c r="D657" i="57"/>
  <c r="D663" i="57" s="1"/>
  <c r="C671" i="57"/>
  <c r="C670" i="57"/>
  <c r="C669" i="57"/>
  <c r="C668" i="57"/>
  <c r="C667" i="57"/>
  <c r="C666" i="57"/>
  <c r="C665" i="57"/>
  <c r="C664" i="57"/>
  <c r="C663" i="57"/>
  <c r="C662" i="57"/>
  <c r="C661" i="57"/>
  <c r="C660" i="57"/>
  <c r="C659" i="57"/>
  <c r="C658" i="57"/>
  <c r="C657" i="57"/>
  <c r="D654" i="57"/>
  <c r="D52" i="218" s="1"/>
  <c r="K653" i="57"/>
  <c r="K652" i="57"/>
  <c r="L652" i="57" s="1"/>
  <c r="K650" i="57"/>
  <c r="L650" i="57" s="1"/>
  <c r="K649" i="57"/>
  <c r="K648" i="57"/>
  <c r="L648" i="57" s="1"/>
  <c r="J653" i="57"/>
  <c r="J651" i="57"/>
  <c r="L651" i="57" s="1"/>
  <c r="J649" i="57"/>
  <c r="J647" i="57"/>
  <c r="L647" i="57" s="1"/>
  <c r="K646" i="57"/>
  <c r="J646" i="57"/>
  <c r="K644" i="57"/>
  <c r="J644" i="57"/>
  <c r="K643" i="57"/>
  <c r="J643" i="57"/>
  <c r="K642" i="57"/>
  <c r="J642" i="57"/>
  <c r="D639" i="57"/>
  <c r="D640" i="57" s="1"/>
  <c r="C653" i="57"/>
  <c r="C652" i="57"/>
  <c r="C651" i="57"/>
  <c r="C650" i="57"/>
  <c r="C649" i="57"/>
  <c r="C648" i="57"/>
  <c r="C647" i="57"/>
  <c r="C646" i="57"/>
  <c r="C645" i="57"/>
  <c r="C644" i="57"/>
  <c r="C643" i="57"/>
  <c r="C642" i="57"/>
  <c r="C641" i="57"/>
  <c r="C640" i="57"/>
  <c r="C639" i="57"/>
  <c r="D636" i="57"/>
  <c r="D51" i="218" s="1"/>
  <c r="K635" i="57"/>
  <c r="K634" i="57"/>
  <c r="L634" i="57" s="1"/>
  <c r="K632" i="57"/>
  <c r="L632" i="57" s="1"/>
  <c r="K631" i="57"/>
  <c r="K630" i="57"/>
  <c r="L630" i="57" s="1"/>
  <c r="J635" i="57"/>
  <c r="J633" i="57"/>
  <c r="L633" i="57" s="1"/>
  <c r="J631" i="57"/>
  <c r="J629" i="57"/>
  <c r="L629" i="57" s="1"/>
  <c r="K628" i="57"/>
  <c r="J628" i="57"/>
  <c r="K626" i="57"/>
  <c r="J626" i="57"/>
  <c r="K625" i="57"/>
  <c r="J625" i="57"/>
  <c r="K624" i="57"/>
  <c r="J624" i="57"/>
  <c r="D621" i="57"/>
  <c r="D627" i="57" s="1"/>
  <c r="K627" i="57" s="1"/>
  <c r="C635" i="57"/>
  <c r="C634" i="57"/>
  <c r="C633" i="57"/>
  <c r="C632" i="57"/>
  <c r="C631" i="57"/>
  <c r="C630" i="57"/>
  <c r="C629" i="57"/>
  <c r="C628" i="57"/>
  <c r="C627" i="57"/>
  <c r="C626" i="57"/>
  <c r="C625" i="57"/>
  <c r="C624" i="57"/>
  <c r="C623" i="57"/>
  <c r="C622" i="57"/>
  <c r="C621" i="57"/>
  <c r="D618" i="57"/>
  <c r="D50" i="218" s="1"/>
  <c r="K617" i="57"/>
  <c r="K616" i="57"/>
  <c r="K614" i="57"/>
  <c r="L614" i="57" s="1"/>
  <c r="K613" i="57"/>
  <c r="K612" i="57"/>
  <c r="L612" i="57" s="1"/>
  <c r="J617" i="57"/>
  <c r="J615" i="57"/>
  <c r="L615" i="57" s="1"/>
  <c r="J613" i="57"/>
  <c r="J611" i="57"/>
  <c r="L611" i="57" s="1"/>
  <c r="K610" i="57"/>
  <c r="J610" i="57"/>
  <c r="K608" i="57"/>
  <c r="J608" i="57"/>
  <c r="K607" i="57"/>
  <c r="J607" i="57"/>
  <c r="K606" i="57"/>
  <c r="J606" i="57"/>
  <c r="D603" i="57"/>
  <c r="K603" i="57" s="1"/>
  <c r="C617" i="57"/>
  <c r="C616" i="57"/>
  <c r="C615" i="57"/>
  <c r="C614" i="57"/>
  <c r="C613" i="57"/>
  <c r="C612" i="57"/>
  <c r="C611" i="57"/>
  <c r="C610" i="57"/>
  <c r="C609" i="57"/>
  <c r="C608" i="57"/>
  <c r="C607" i="57"/>
  <c r="C606" i="57"/>
  <c r="C605" i="57"/>
  <c r="C604" i="57"/>
  <c r="C603" i="57"/>
  <c r="D600" i="57"/>
  <c r="D49" i="218" s="1"/>
  <c r="J597" i="57"/>
  <c r="L597" i="57" s="1"/>
  <c r="J595" i="57"/>
  <c r="J599" i="57"/>
  <c r="K599" i="57"/>
  <c r="K598" i="57"/>
  <c r="L598" i="57" s="1"/>
  <c r="K596" i="57"/>
  <c r="L596" i="57" s="1"/>
  <c r="K595" i="57"/>
  <c r="K594" i="57"/>
  <c r="L594" i="57" s="1"/>
  <c r="K592" i="57"/>
  <c r="K590" i="57"/>
  <c r="K589" i="57"/>
  <c r="J593" i="57"/>
  <c r="L593" i="57" s="1"/>
  <c r="J592" i="57"/>
  <c r="J590" i="57"/>
  <c r="J589" i="57"/>
  <c r="D584" i="57"/>
  <c r="D588" i="57" s="1"/>
  <c r="K588" i="57" s="1"/>
  <c r="C599" i="57"/>
  <c r="C598" i="57"/>
  <c r="C597" i="57"/>
  <c r="C596" i="57"/>
  <c r="C595" i="57"/>
  <c r="C594" i="57"/>
  <c r="C593" i="57"/>
  <c r="C592" i="57"/>
  <c r="F591" i="57"/>
  <c r="C591" i="57"/>
  <c r="C590" i="57"/>
  <c r="C589" i="57"/>
  <c r="C588" i="57"/>
  <c r="C587" i="57"/>
  <c r="C586" i="57"/>
  <c r="C585" i="57"/>
  <c r="C584" i="57"/>
  <c r="D581" i="57"/>
  <c r="D48" i="218" s="1"/>
  <c r="K580" i="57"/>
  <c r="K576" i="57"/>
  <c r="K577" i="57"/>
  <c r="L577" i="57" s="1"/>
  <c r="K578" i="57"/>
  <c r="K579" i="57"/>
  <c r="L579" i="57" s="1"/>
  <c r="K575" i="57"/>
  <c r="L575" i="57" s="1"/>
  <c r="K570" i="57"/>
  <c r="K571" i="57"/>
  <c r="K573" i="57"/>
  <c r="J263" i="57"/>
  <c r="J580" i="57"/>
  <c r="J578" i="57"/>
  <c r="J576" i="57"/>
  <c r="J574" i="57"/>
  <c r="L574" i="57" s="1"/>
  <c r="J570" i="57"/>
  <c r="J571" i="57"/>
  <c r="J573" i="57"/>
  <c r="D566" i="57"/>
  <c r="D567" i="57" s="1"/>
  <c r="J567" i="57" s="1"/>
  <c r="C580" i="57"/>
  <c r="C579" i="57"/>
  <c r="C578" i="57"/>
  <c r="C577" i="57"/>
  <c r="C576" i="57"/>
  <c r="C575" i="57"/>
  <c r="C574" i="57"/>
  <c r="C573" i="57"/>
  <c r="F572" i="57"/>
  <c r="C572" i="57"/>
  <c r="C571" i="57"/>
  <c r="C570" i="57"/>
  <c r="C569" i="57"/>
  <c r="C568" i="57"/>
  <c r="C567" i="57"/>
  <c r="C566" i="57"/>
  <c r="D563" i="57"/>
  <c r="D47" i="218" s="1"/>
  <c r="K562" i="57"/>
  <c r="K561" i="57"/>
  <c r="L561" i="57" s="1"/>
  <c r="K560" i="57"/>
  <c r="K559" i="57"/>
  <c r="L559" i="57" s="1"/>
  <c r="J562" i="57"/>
  <c r="J560" i="57"/>
  <c r="J558" i="57"/>
  <c r="L558" i="57" s="1"/>
  <c r="J553" i="57"/>
  <c r="K553" i="57"/>
  <c r="J554" i="57"/>
  <c r="K554" i="57"/>
  <c r="J555" i="57"/>
  <c r="K555" i="57"/>
  <c r="J557" i="57"/>
  <c r="K557" i="57"/>
  <c r="D550" i="57"/>
  <c r="K550" i="57" s="1"/>
  <c r="C562" i="57"/>
  <c r="C561" i="57"/>
  <c r="C560" i="57"/>
  <c r="C559" i="57"/>
  <c r="C558" i="57"/>
  <c r="C557" i="57"/>
  <c r="C556" i="57"/>
  <c r="C555" i="57"/>
  <c r="C554" i="57"/>
  <c r="C553" i="57"/>
  <c r="C552" i="57"/>
  <c r="C551" i="57"/>
  <c r="C550" i="57"/>
  <c r="D547" i="57"/>
  <c r="D46" i="218" s="1"/>
  <c r="K546" i="57"/>
  <c r="K544" i="57"/>
  <c r="K545" i="57"/>
  <c r="L545" i="57" s="1"/>
  <c r="K543" i="57"/>
  <c r="L543" i="57" s="1"/>
  <c r="J546" i="57"/>
  <c r="J544" i="57"/>
  <c r="J542" i="57"/>
  <c r="L542" i="57" s="1"/>
  <c r="J537" i="57"/>
  <c r="K537" i="57"/>
  <c r="J538" i="57"/>
  <c r="K538" i="57"/>
  <c r="J539" i="57"/>
  <c r="K539" i="57"/>
  <c r="J541" i="57"/>
  <c r="K541" i="57"/>
  <c r="D534" i="57"/>
  <c r="D540" i="57" s="1"/>
  <c r="J540" i="57" s="1"/>
  <c r="C546" i="57"/>
  <c r="C545" i="57"/>
  <c r="C544" i="57"/>
  <c r="C543" i="57"/>
  <c r="C542" i="57"/>
  <c r="C541" i="57"/>
  <c r="C540" i="57"/>
  <c r="C539" i="57"/>
  <c r="C538" i="57"/>
  <c r="C537" i="57"/>
  <c r="C536" i="57"/>
  <c r="C535" i="57"/>
  <c r="C534" i="57"/>
  <c r="D531" i="57"/>
  <c r="D45" i="218" s="1"/>
  <c r="K530" i="57"/>
  <c r="K529" i="57"/>
  <c r="L529" i="57" s="1"/>
  <c r="K528" i="57"/>
  <c r="K527" i="57"/>
  <c r="L527" i="57" s="1"/>
  <c r="J530" i="57"/>
  <c r="J528" i="57"/>
  <c r="J526" i="57"/>
  <c r="L526" i="57" s="1"/>
  <c r="J521" i="57"/>
  <c r="K521" i="57"/>
  <c r="J522" i="57"/>
  <c r="K522" i="57"/>
  <c r="J523" i="57"/>
  <c r="K523" i="57"/>
  <c r="J525" i="57"/>
  <c r="K525" i="57"/>
  <c r="D518" i="57"/>
  <c r="K518" i="57" s="1"/>
  <c r="C530" i="57"/>
  <c r="C529" i="57"/>
  <c r="C528" i="57"/>
  <c r="C527" i="57"/>
  <c r="C526" i="57"/>
  <c r="C525" i="57"/>
  <c r="C524" i="57"/>
  <c r="C523" i="57"/>
  <c r="C522" i="57"/>
  <c r="C521" i="57"/>
  <c r="C520" i="57"/>
  <c r="C519" i="57"/>
  <c r="C518" i="57"/>
  <c r="D515" i="57"/>
  <c r="D44" i="218" s="1"/>
  <c r="K514" i="57"/>
  <c r="K513" i="57"/>
  <c r="L513" i="57" s="1"/>
  <c r="K512" i="57"/>
  <c r="K511" i="57"/>
  <c r="L511" i="57" s="1"/>
  <c r="J514" i="57"/>
  <c r="J512" i="57"/>
  <c r="J510" i="57"/>
  <c r="L510" i="57" s="1"/>
  <c r="J505" i="57"/>
  <c r="K505" i="57"/>
  <c r="J506" i="57"/>
  <c r="K506" i="57"/>
  <c r="J507" i="57"/>
  <c r="K507" i="57"/>
  <c r="J509" i="57"/>
  <c r="K509" i="57"/>
  <c r="D502" i="57"/>
  <c r="D508" i="57" s="1"/>
  <c r="J508" i="57" s="1"/>
  <c r="C514" i="57"/>
  <c r="C513" i="57"/>
  <c r="C512" i="57"/>
  <c r="C511" i="57"/>
  <c r="C510" i="57"/>
  <c r="C509" i="57"/>
  <c r="C508" i="57"/>
  <c r="C507" i="57"/>
  <c r="C506" i="57"/>
  <c r="C505" i="57"/>
  <c r="C504" i="57"/>
  <c r="C503" i="57"/>
  <c r="C502" i="57"/>
  <c r="D499" i="57"/>
  <c r="D43" i="218" s="1"/>
  <c r="J498" i="57"/>
  <c r="K498" i="57"/>
  <c r="K496" i="57"/>
  <c r="K497" i="57"/>
  <c r="L497" i="57" s="1"/>
  <c r="K495" i="57"/>
  <c r="L495" i="57" s="1"/>
  <c r="K490" i="57"/>
  <c r="K491" i="57"/>
  <c r="K493" i="57"/>
  <c r="J490" i="57"/>
  <c r="J491" i="57"/>
  <c r="J493" i="57"/>
  <c r="J494" i="57"/>
  <c r="L494" i="57" s="1"/>
  <c r="D485" i="57"/>
  <c r="K485" i="57" s="1"/>
  <c r="C498" i="57"/>
  <c r="C497" i="57"/>
  <c r="J496" i="57"/>
  <c r="C496" i="57"/>
  <c r="C495" i="57"/>
  <c r="C494" i="57"/>
  <c r="C493" i="57"/>
  <c r="F492" i="57"/>
  <c r="C492" i="57"/>
  <c r="C491" i="57"/>
  <c r="C490" i="57"/>
  <c r="C489" i="57"/>
  <c r="C488" i="57"/>
  <c r="C487" i="57"/>
  <c r="C486" i="57"/>
  <c r="C485" i="57"/>
  <c r="D482" i="57"/>
  <c r="D42" i="218" s="1"/>
  <c r="K481" i="57"/>
  <c r="K479" i="57"/>
  <c r="K480" i="57"/>
  <c r="L480" i="57" s="1"/>
  <c r="K478" i="57"/>
  <c r="L478" i="57" s="1"/>
  <c r="J481" i="57"/>
  <c r="J479" i="57"/>
  <c r="J477" i="57"/>
  <c r="L477" i="57" s="1"/>
  <c r="J473" i="57"/>
  <c r="K473" i="57"/>
  <c r="J474" i="57"/>
  <c r="K474" i="57"/>
  <c r="J476" i="57"/>
  <c r="K476" i="57"/>
  <c r="D469" i="57"/>
  <c r="K469" i="57" s="1"/>
  <c r="C481" i="57"/>
  <c r="C480" i="57"/>
  <c r="C479" i="57"/>
  <c r="C478" i="57"/>
  <c r="C477" i="57"/>
  <c r="C476" i="57"/>
  <c r="F475" i="57"/>
  <c r="C475" i="57"/>
  <c r="C474" i="57"/>
  <c r="C473" i="57"/>
  <c r="C472" i="57"/>
  <c r="C471" i="57"/>
  <c r="C470" i="57"/>
  <c r="C469" i="57"/>
  <c r="D466" i="57"/>
  <c r="D41" i="218" s="1"/>
  <c r="L6" i="1"/>
  <c r="F471" i="57" l="1"/>
  <c r="F77" i="57"/>
  <c r="G77" i="57" s="1"/>
  <c r="AE83" i="216"/>
  <c r="L793" i="57"/>
  <c r="D772" i="57"/>
  <c r="K772" i="57" s="1"/>
  <c r="D718" i="57"/>
  <c r="K718" i="57" s="1"/>
  <c r="F487" i="57"/>
  <c r="F677" i="57"/>
  <c r="F568" i="57"/>
  <c r="F586" i="57"/>
  <c r="F695" i="57"/>
  <c r="L801" i="57"/>
  <c r="L813" i="57"/>
  <c r="L811" i="57"/>
  <c r="L818" i="57"/>
  <c r="L831" i="57"/>
  <c r="L806" i="57"/>
  <c r="L735" i="57"/>
  <c r="L805" i="57"/>
  <c r="L829" i="57"/>
  <c r="L830" i="57"/>
  <c r="L751" i="57"/>
  <c r="L762" i="57"/>
  <c r="J790" i="57"/>
  <c r="L790" i="57" s="1"/>
  <c r="L824" i="57"/>
  <c r="D470" i="57"/>
  <c r="J470" i="57" s="1"/>
  <c r="D535" i="57"/>
  <c r="L752" i="57"/>
  <c r="L758" i="57"/>
  <c r="L680" i="57"/>
  <c r="L802" i="57"/>
  <c r="D749" i="57"/>
  <c r="J749" i="57" s="1"/>
  <c r="L797" i="57"/>
  <c r="L804" i="57"/>
  <c r="L755" i="57"/>
  <c r="L642" i="57"/>
  <c r="L761" i="57"/>
  <c r="L800" i="57"/>
  <c r="L812" i="57"/>
  <c r="L819" i="57"/>
  <c r="L664" i="57"/>
  <c r="L753" i="57"/>
  <c r="L825" i="57"/>
  <c r="L823" i="57"/>
  <c r="L810" i="57"/>
  <c r="L817" i="57"/>
  <c r="L744" i="57"/>
  <c r="L788" i="57"/>
  <c r="L815" i="57"/>
  <c r="L814" i="57"/>
  <c r="J816" i="57"/>
  <c r="K816" i="57"/>
  <c r="L799" i="57"/>
  <c r="J803" i="57"/>
  <c r="L803" i="57" s="1"/>
  <c r="L798" i="57"/>
  <c r="L792" i="57"/>
  <c r="L789" i="57"/>
  <c r="L617" i="57"/>
  <c r="L592" i="57"/>
  <c r="L660" i="57"/>
  <c r="L770" i="57"/>
  <c r="L776" i="57"/>
  <c r="L773" i="57"/>
  <c r="L737" i="57"/>
  <c r="L787" i="57"/>
  <c r="L740" i="57"/>
  <c r="J766" i="57"/>
  <c r="L778" i="57"/>
  <c r="L791" i="57"/>
  <c r="L682" i="57"/>
  <c r="L742" i="57"/>
  <c r="J748" i="57"/>
  <c r="D767" i="57"/>
  <c r="J767" i="57" s="1"/>
  <c r="L779" i="57"/>
  <c r="L643" i="57"/>
  <c r="L667" i="57"/>
  <c r="L760" i="57"/>
  <c r="L769" i="57"/>
  <c r="L780" i="57"/>
  <c r="L785" i="57"/>
  <c r="L771" i="57"/>
  <c r="D768" i="57"/>
  <c r="D750" i="57"/>
  <c r="D754" i="57"/>
  <c r="L733" i="57"/>
  <c r="D503" i="57"/>
  <c r="J503" i="57" s="1"/>
  <c r="L624" i="57"/>
  <c r="L701" i="57"/>
  <c r="L635" i="57"/>
  <c r="D645" i="57"/>
  <c r="J645" i="57" s="1"/>
  <c r="L496" i="57"/>
  <c r="L514" i="57"/>
  <c r="L578" i="57"/>
  <c r="L608" i="57"/>
  <c r="L716" i="57"/>
  <c r="J621" i="57"/>
  <c r="K621" i="57"/>
  <c r="D622" i="57"/>
  <c r="K622" i="57" s="1"/>
  <c r="L625" i="57"/>
  <c r="L606" i="57"/>
  <c r="L595" i="57"/>
  <c r="K584" i="57"/>
  <c r="L662" i="57"/>
  <c r="L607" i="57"/>
  <c r="L653" i="57"/>
  <c r="J640" i="57"/>
  <c r="K640" i="57"/>
  <c r="L734" i="57"/>
  <c r="J730" i="57"/>
  <c r="L557" i="57"/>
  <c r="L671" i="57"/>
  <c r="J584" i="57"/>
  <c r="J639" i="57"/>
  <c r="L698" i="57"/>
  <c r="L717" i="57"/>
  <c r="D736" i="57"/>
  <c r="K712" i="57"/>
  <c r="L712" i="57" s="1"/>
  <c r="K730" i="57"/>
  <c r="L722" i="57"/>
  <c r="L610" i="57"/>
  <c r="L631" i="57"/>
  <c r="K639" i="57"/>
  <c r="L649" i="57"/>
  <c r="L661" i="57"/>
  <c r="D694" i="57"/>
  <c r="K694" i="57" s="1"/>
  <c r="L580" i="57"/>
  <c r="D713" i="57"/>
  <c r="J713" i="57" s="1"/>
  <c r="D586" i="57"/>
  <c r="D609" i="57"/>
  <c r="J609" i="57" s="1"/>
  <c r="L699" i="57"/>
  <c r="D714" i="57"/>
  <c r="L719" i="57"/>
  <c r="J663" i="57"/>
  <c r="K663" i="57"/>
  <c r="J657" i="57"/>
  <c r="K675" i="57"/>
  <c r="L590" i="57"/>
  <c r="D658" i="57"/>
  <c r="K657" i="57"/>
  <c r="D676" i="57"/>
  <c r="J676" i="57" s="1"/>
  <c r="K566" i="57"/>
  <c r="D486" i="57"/>
  <c r="K486" i="57" s="1"/>
  <c r="L562" i="57"/>
  <c r="D604" i="57"/>
  <c r="J603" i="57"/>
  <c r="L603" i="57" s="1"/>
  <c r="D700" i="57"/>
  <c r="J700" i="57" s="1"/>
  <c r="L576" i="57"/>
  <c r="K693" i="57"/>
  <c r="J566" i="57"/>
  <c r="L708" i="57"/>
  <c r="L646" i="57"/>
  <c r="J693" i="57"/>
  <c r="L688" i="57"/>
  <c r="L570" i="57"/>
  <c r="L613" i="57"/>
  <c r="L628" i="57"/>
  <c r="L743" i="57"/>
  <c r="J731" i="57"/>
  <c r="L731" i="57" s="1"/>
  <c r="L724" i="57"/>
  <c r="L725" i="57"/>
  <c r="L715" i="57"/>
  <c r="L726" i="57"/>
  <c r="D732" i="57"/>
  <c r="L679" i="57"/>
  <c r="L685" i="57"/>
  <c r="L704" i="57"/>
  <c r="L706" i="57"/>
  <c r="L707" i="57"/>
  <c r="K697" i="57"/>
  <c r="L697" i="57" s="1"/>
  <c r="L689" i="57"/>
  <c r="L687" i="57"/>
  <c r="D696" i="57"/>
  <c r="D695" i="57"/>
  <c r="D677" i="57"/>
  <c r="D681" i="57"/>
  <c r="D678" i="57"/>
  <c r="D659" i="57"/>
  <c r="L644" i="57"/>
  <c r="D641" i="57"/>
  <c r="L626" i="57"/>
  <c r="J627" i="57"/>
  <c r="D623" i="57"/>
  <c r="D605" i="57"/>
  <c r="J588" i="57"/>
  <c r="L588" i="57" s="1"/>
  <c r="L589" i="57"/>
  <c r="L599" i="57"/>
  <c r="D585" i="57"/>
  <c r="D591" i="57"/>
  <c r="G591" i="57" s="1"/>
  <c r="D587" i="57"/>
  <c r="K567" i="57"/>
  <c r="L567" i="57" s="1"/>
  <c r="L571" i="57"/>
  <c r="L573" i="57"/>
  <c r="D572" i="57"/>
  <c r="D569" i="57"/>
  <c r="D568" i="57"/>
  <c r="L560" i="57"/>
  <c r="L479" i="57"/>
  <c r="D472" i="57"/>
  <c r="K472" i="57" s="1"/>
  <c r="D487" i="57"/>
  <c r="J487" i="57" s="1"/>
  <c r="D519" i="57"/>
  <c r="J519" i="57" s="1"/>
  <c r="L544" i="57"/>
  <c r="L512" i="57"/>
  <c r="L554" i="57"/>
  <c r="L522" i="57"/>
  <c r="D551" i="57"/>
  <c r="L538" i="57"/>
  <c r="L505" i="57"/>
  <c r="L528" i="57"/>
  <c r="J502" i="57"/>
  <c r="L553" i="57"/>
  <c r="D524" i="57"/>
  <c r="J534" i="57"/>
  <c r="L525" i="57"/>
  <c r="K534" i="57"/>
  <c r="L521" i="57"/>
  <c r="D489" i="57"/>
  <c r="J489" i="57" s="1"/>
  <c r="D556" i="57"/>
  <c r="J556" i="57" s="1"/>
  <c r="D492" i="57"/>
  <c r="J492" i="57" s="1"/>
  <c r="L473" i="57"/>
  <c r="L541" i="57"/>
  <c r="K502" i="57"/>
  <c r="K540" i="57"/>
  <c r="L540" i="57" s="1"/>
  <c r="J485" i="57"/>
  <c r="L485" i="57" s="1"/>
  <c r="L498" i="57"/>
  <c r="L481" i="57"/>
  <c r="J550" i="57"/>
  <c r="L550" i="57" s="1"/>
  <c r="J469" i="57"/>
  <c r="L469" i="57" s="1"/>
  <c r="J518" i="57"/>
  <c r="L518" i="57" s="1"/>
  <c r="L530" i="57"/>
  <c r="L555" i="57"/>
  <c r="L509" i="57"/>
  <c r="L476" i="57"/>
  <c r="K508" i="57"/>
  <c r="L508" i="57" s="1"/>
  <c r="L506" i="57"/>
  <c r="L507" i="57"/>
  <c r="L537" i="57"/>
  <c r="L546" i="57"/>
  <c r="D552" i="57"/>
  <c r="L539" i="57"/>
  <c r="D536" i="57"/>
  <c r="L523" i="57"/>
  <c r="D520" i="57"/>
  <c r="D504" i="57"/>
  <c r="L490" i="57"/>
  <c r="L491" i="57"/>
  <c r="L493" i="57"/>
  <c r="D488" i="57"/>
  <c r="L474" i="57"/>
  <c r="D475" i="57"/>
  <c r="D471" i="57"/>
  <c r="AE29" i="216" l="1"/>
  <c r="AE66" i="216"/>
  <c r="AE77" i="216"/>
  <c r="AE103" i="216"/>
  <c r="J772" i="57"/>
  <c r="L772" i="57" s="1"/>
  <c r="J718" i="57"/>
  <c r="L718" i="57" s="1"/>
  <c r="G586" i="57"/>
  <c r="J535" i="57"/>
  <c r="K535" i="57"/>
  <c r="K470" i="57"/>
  <c r="L470" i="57" s="1"/>
  <c r="K749" i="57"/>
  <c r="L749" i="57" s="1"/>
  <c r="L730" i="57"/>
  <c r="L621" i="57"/>
  <c r="L816" i="57"/>
  <c r="K767" i="57"/>
  <c r="L767" i="57" s="1"/>
  <c r="K503" i="57"/>
  <c r="L503" i="57" s="1"/>
  <c r="L784" i="57"/>
  <c r="K768" i="57"/>
  <c r="J768" i="57"/>
  <c r="L766" i="57"/>
  <c r="K754" i="57"/>
  <c r="J754" i="57"/>
  <c r="K750" i="57"/>
  <c r="J750" i="57"/>
  <c r="L748" i="57"/>
  <c r="L663" i="57"/>
  <c r="K609" i="57"/>
  <c r="L609" i="57" s="1"/>
  <c r="K645" i="57"/>
  <c r="L645" i="57" s="1"/>
  <c r="K714" i="57"/>
  <c r="K736" i="57"/>
  <c r="J622" i="57"/>
  <c r="L622" i="57" s="1"/>
  <c r="L639" i="57"/>
  <c r="J694" i="57"/>
  <c r="L694" i="57" s="1"/>
  <c r="J714" i="57"/>
  <c r="L657" i="57"/>
  <c r="G700" i="57"/>
  <c r="K586" i="57"/>
  <c r="J586" i="57"/>
  <c r="L693" i="57"/>
  <c r="K700" i="57"/>
  <c r="L700" i="57" s="1"/>
  <c r="K713" i="57"/>
  <c r="L713" i="57" s="1"/>
  <c r="J736" i="57"/>
  <c r="K658" i="57"/>
  <c r="J658" i="57"/>
  <c r="J486" i="57"/>
  <c r="L486" i="57" s="1"/>
  <c r="K676" i="57"/>
  <c r="L676" i="57" s="1"/>
  <c r="J604" i="57"/>
  <c r="K604" i="57"/>
  <c r="K732" i="57"/>
  <c r="J732" i="57"/>
  <c r="K696" i="57"/>
  <c r="J696" i="57"/>
  <c r="J695" i="57"/>
  <c r="K695" i="57"/>
  <c r="G695" i="57"/>
  <c r="J678" i="57"/>
  <c r="K678" i="57"/>
  <c r="K681" i="57"/>
  <c r="J681" i="57"/>
  <c r="K677" i="57"/>
  <c r="J677" i="57"/>
  <c r="G681" i="57"/>
  <c r="G677" i="57"/>
  <c r="L675" i="57"/>
  <c r="K659" i="57"/>
  <c r="J659" i="57"/>
  <c r="K641" i="57"/>
  <c r="J641" i="57"/>
  <c r="L640" i="57"/>
  <c r="J623" i="57"/>
  <c r="K623" i="57"/>
  <c r="L627" i="57"/>
  <c r="K605" i="57"/>
  <c r="J605" i="57"/>
  <c r="J587" i="57"/>
  <c r="K587" i="57"/>
  <c r="K591" i="57"/>
  <c r="J591" i="57"/>
  <c r="J585" i="57"/>
  <c r="K585" i="57"/>
  <c r="L584" i="57"/>
  <c r="K568" i="57"/>
  <c r="J568" i="57"/>
  <c r="K569" i="57"/>
  <c r="J569" i="57"/>
  <c r="K572" i="57"/>
  <c r="J572" i="57"/>
  <c r="L566" i="57"/>
  <c r="G572" i="57"/>
  <c r="G568" i="57"/>
  <c r="K519" i="57"/>
  <c r="L519" i="57" s="1"/>
  <c r="J472" i="57"/>
  <c r="L472" i="57" s="1"/>
  <c r="G487" i="57"/>
  <c r="K487" i="57"/>
  <c r="L487" i="57" s="1"/>
  <c r="G492" i="57"/>
  <c r="J551" i="57"/>
  <c r="K551" i="57"/>
  <c r="L502" i="57"/>
  <c r="L534" i="57"/>
  <c r="K556" i="57"/>
  <c r="L556" i="57" s="1"/>
  <c r="K489" i="57"/>
  <c r="L489" i="57" s="1"/>
  <c r="J524" i="57"/>
  <c r="K524" i="57"/>
  <c r="K492" i="57"/>
  <c r="L492" i="57" s="1"/>
  <c r="K552" i="57"/>
  <c r="J552" i="57"/>
  <c r="K536" i="57"/>
  <c r="J536" i="57"/>
  <c r="K520" i="57"/>
  <c r="J520" i="57"/>
  <c r="K504" i="57"/>
  <c r="J504" i="57"/>
  <c r="K488" i="57"/>
  <c r="J488" i="57"/>
  <c r="J475" i="57"/>
  <c r="K475" i="57"/>
  <c r="K471" i="57"/>
  <c r="J471" i="57"/>
  <c r="G471" i="57"/>
  <c r="G475" i="57"/>
  <c r="L754" i="57" l="1"/>
  <c r="L535" i="57"/>
  <c r="L591" i="57"/>
  <c r="L736" i="57"/>
  <c r="L658" i="57"/>
  <c r="L586" i="57"/>
  <c r="L786" i="57"/>
  <c r="L696" i="57"/>
  <c r="L768" i="57"/>
  <c r="L750" i="57"/>
  <c r="L714" i="57"/>
  <c r="L569" i="57"/>
  <c r="L732" i="57"/>
  <c r="L659" i="57"/>
  <c r="L572" i="57"/>
  <c r="L623" i="57"/>
  <c r="L568" i="57"/>
  <c r="L551" i="57"/>
  <c r="L604" i="57"/>
  <c r="L677" i="57"/>
  <c r="L678" i="57"/>
  <c r="L681" i="57"/>
  <c r="L695" i="57"/>
  <c r="L641" i="57"/>
  <c r="L605" i="57"/>
  <c r="L585" i="57"/>
  <c r="L587" i="57"/>
  <c r="L520" i="57"/>
  <c r="L475" i="57"/>
  <c r="L536" i="57"/>
  <c r="L524" i="57"/>
  <c r="L504" i="57"/>
  <c r="L488" i="57"/>
  <c r="L552" i="57"/>
  <c r="L471" i="57"/>
  <c r="K461" i="57" l="1"/>
  <c r="K462" i="57"/>
  <c r="L462" i="57" s="1"/>
  <c r="K463" i="57"/>
  <c r="K460" i="57"/>
  <c r="L460" i="57" s="1"/>
  <c r="J465" i="57"/>
  <c r="J464" i="57"/>
  <c r="J463" i="57"/>
  <c r="J461" i="57"/>
  <c r="J459" i="57"/>
  <c r="L459" i="57" s="1"/>
  <c r="J454" i="57"/>
  <c r="K454" i="57"/>
  <c r="J455" i="57"/>
  <c r="K455" i="57"/>
  <c r="J456" i="57"/>
  <c r="K456" i="57"/>
  <c r="J458" i="57"/>
  <c r="K458" i="57"/>
  <c r="K465" i="57"/>
  <c r="C465" i="57"/>
  <c r="K464" i="57"/>
  <c r="C464" i="57"/>
  <c r="C463" i="57"/>
  <c r="C462" i="57"/>
  <c r="C461" i="57"/>
  <c r="C460" i="57"/>
  <c r="C459" i="57"/>
  <c r="C458" i="57"/>
  <c r="C457" i="57"/>
  <c r="C456" i="57"/>
  <c r="C455" i="57"/>
  <c r="C454" i="57"/>
  <c r="C453" i="57"/>
  <c r="C452" i="57"/>
  <c r="D451" i="57"/>
  <c r="K451" i="57" s="1"/>
  <c r="C451" i="57"/>
  <c r="D448" i="57"/>
  <c r="D40" i="218" s="1"/>
  <c r="K447" i="57"/>
  <c r="K443" i="57"/>
  <c r="K444" i="57"/>
  <c r="L444" i="57" s="1"/>
  <c r="K445" i="57"/>
  <c r="K446" i="57"/>
  <c r="K442" i="57"/>
  <c r="L442" i="57" s="1"/>
  <c r="J447" i="57"/>
  <c r="J446" i="57"/>
  <c r="J445" i="57"/>
  <c r="J443" i="57"/>
  <c r="J441" i="57"/>
  <c r="L441" i="57" s="1"/>
  <c r="J440" i="57"/>
  <c r="K440" i="57"/>
  <c r="J436" i="57"/>
  <c r="K436" i="57"/>
  <c r="J437" i="57"/>
  <c r="K437" i="57"/>
  <c r="J438" i="57"/>
  <c r="K438" i="57"/>
  <c r="C447" i="57"/>
  <c r="C446" i="57"/>
  <c r="C445" i="57"/>
  <c r="C444" i="57"/>
  <c r="C443" i="57"/>
  <c r="C442" i="57"/>
  <c r="C441" i="57"/>
  <c r="C440" i="57"/>
  <c r="C439" i="57"/>
  <c r="C438" i="57"/>
  <c r="C437" i="57"/>
  <c r="C436" i="57"/>
  <c r="C435" i="57"/>
  <c r="C434" i="57"/>
  <c r="D433" i="57"/>
  <c r="D439" i="57" s="1"/>
  <c r="C433" i="57"/>
  <c r="D430" i="57"/>
  <c r="D39" i="218" s="1"/>
  <c r="K429" i="57"/>
  <c r="K425" i="57"/>
  <c r="K426" i="57"/>
  <c r="L426" i="57" s="1"/>
  <c r="K427" i="57"/>
  <c r="K428" i="57"/>
  <c r="K424" i="57"/>
  <c r="L424" i="57" s="1"/>
  <c r="J429" i="57"/>
  <c r="J428" i="57"/>
  <c r="J427" i="57"/>
  <c r="J425" i="57"/>
  <c r="J423" i="57"/>
  <c r="L423" i="57" s="1"/>
  <c r="J418" i="57"/>
  <c r="K418" i="57"/>
  <c r="J419" i="57"/>
  <c r="K419" i="57"/>
  <c r="J420" i="57"/>
  <c r="K420" i="57"/>
  <c r="J422" i="57"/>
  <c r="K422" i="57"/>
  <c r="C429" i="57"/>
  <c r="C428" i="57"/>
  <c r="C427" i="57"/>
  <c r="C426" i="57"/>
  <c r="C425" i="57"/>
  <c r="C424" i="57"/>
  <c r="C423" i="57"/>
  <c r="C422" i="57"/>
  <c r="C421" i="57"/>
  <c r="C420" i="57"/>
  <c r="C419" i="57"/>
  <c r="C418" i="57"/>
  <c r="C417" i="57"/>
  <c r="C416" i="57"/>
  <c r="D415" i="57"/>
  <c r="D421" i="57" s="1"/>
  <c r="K421" i="57" s="1"/>
  <c r="C415" i="57"/>
  <c r="D412" i="57"/>
  <c r="D38" i="218" s="1"/>
  <c r="K411" i="57"/>
  <c r="K407" i="57"/>
  <c r="K408" i="57"/>
  <c r="L408" i="57" s="1"/>
  <c r="K409" i="57"/>
  <c r="K410" i="57"/>
  <c r="K406" i="57"/>
  <c r="L406" i="57" s="1"/>
  <c r="J411" i="57"/>
  <c r="J407" i="57"/>
  <c r="J409" i="57"/>
  <c r="J410" i="57"/>
  <c r="J405" i="57"/>
  <c r="L405" i="57" s="1"/>
  <c r="J400" i="57"/>
  <c r="K400" i="57"/>
  <c r="J401" i="57"/>
  <c r="K401" i="57"/>
  <c r="J402" i="57"/>
  <c r="K402" i="57"/>
  <c r="J404" i="57"/>
  <c r="K404" i="57"/>
  <c r="C411" i="57"/>
  <c r="C410" i="57"/>
  <c r="C409" i="57"/>
  <c r="C408" i="57"/>
  <c r="C407" i="57"/>
  <c r="C406" i="57"/>
  <c r="C405" i="57"/>
  <c r="C404" i="57"/>
  <c r="C403" i="57"/>
  <c r="C402" i="57"/>
  <c r="C401" i="57"/>
  <c r="C400" i="57"/>
  <c r="C399" i="57"/>
  <c r="C398" i="57"/>
  <c r="D397" i="57"/>
  <c r="D403" i="57" s="1"/>
  <c r="C397" i="57"/>
  <c r="D394" i="57"/>
  <c r="D37" i="218" s="1"/>
  <c r="K393" i="57"/>
  <c r="K389" i="57"/>
  <c r="K390" i="57"/>
  <c r="L390" i="57" s="1"/>
  <c r="K391" i="57"/>
  <c r="K392" i="57"/>
  <c r="K388" i="57"/>
  <c r="L388" i="57" s="1"/>
  <c r="J393" i="57"/>
  <c r="J391" i="57"/>
  <c r="J392" i="57"/>
  <c r="J389" i="57"/>
  <c r="J387" i="57"/>
  <c r="L387" i="57" s="1"/>
  <c r="J383" i="57"/>
  <c r="K383" i="57"/>
  <c r="J384" i="57"/>
  <c r="K384" i="57"/>
  <c r="J386" i="57"/>
  <c r="K386" i="57"/>
  <c r="C393" i="57"/>
  <c r="C392" i="57"/>
  <c r="C391" i="57"/>
  <c r="C390" i="57"/>
  <c r="C389" i="57"/>
  <c r="C388" i="57"/>
  <c r="C387" i="57"/>
  <c r="C386" i="57"/>
  <c r="F385" i="57"/>
  <c r="C385" i="57"/>
  <c r="C384" i="57"/>
  <c r="C383" i="57"/>
  <c r="C382" i="57"/>
  <c r="C381" i="57"/>
  <c r="F380" i="57"/>
  <c r="C380" i="57"/>
  <c r="C379" i="57"/>
  <c r="D378" i="57"/>
  <c r="C378" i="57"/>
  <c r="D375" i="57"/>
  <c r="D36" i="218" s="1"/>
  <c r="K374" i="57"/>
  <c r="K370" i="57"/>
  <c r="K371" i="57"/>
  <c r="K372" i="57"/>
  <c r="K373" i="57"/>
  <c r="K369" i="57"/>
  <c r="J374" i="57"/>
  <c r="J373" i="57"/>
  <c r="J372" i="57"/>
  <c r="J370" i="57"/>
  <c r="K364" i="57"/>
  <c r="K365" i="57"/>
  <c r="K367" i="57"/>
  <c r="J364" i="57"/>
  <c r="J365" i="57"/>
  <c r="J367" i="57"/>
  <c r="J368" i="57"/>
  <c r="I74" i="2"/>
  <c r="E75" i="2"/>
  <c r="E78" i="2"/>
  <c r="E77" i="2"/>
  <c r="E76" i="2"/>
  <c r="C372" i="57"/>
  <c r="C373" i="57"/>
  <c r="L461" i="57" l="1"/>
  <c r="L463" i="57"/>
  <c r="K397" i="57"/>
  <c r="L454" i="57"/>
  <c r="L404" i="57"/>
  <c r="L438" i="57"/>
  <c r="L447" i="57"/>
  <c r="J451" i="57"/>
  <c r="L451" i="57" s="1"/>
  <c r="D381" i="57"/>
  <c r="J381" i="57" s="1"/>
  <c r="D382" i="57"/>
  <c r="D452" i="57"/>
  <c r="L465" i="57"/>
  <c r="D457" i="57"/>
  <c r="L464" i="57"/>
  <c r="L458" i="57"/>
  <c r="L443" i="57"/>
  <c r="L445" i="57"/>
  <c r="L446" i="57"/>
  <c r="L455" i="57"/>
  <c r="L456" i="57"/>
  <c r="L440" i="57"/>
  <c r="D453" i="57"/>
  <c r="L386" i="57"/>
  <c r="D398" i="57"/>
  <c r="J439" i="57"/>
  <c r="D434" i="57"/>
  <c r="J434" i="57" s="1"/>
  <c r="J433" i="57"/>
  <c r="K433" i="57"/>
  <c r="L409" i="57"/>
  <c r="L407" i="57"/>
  <c r="K403" i="57"/>
  <c r="J403" i="57"/>
  <c r="J397" i="57"/>
  <c r="J415" i="57"/>
  <c r="D379" i="57"/>
  <c r="J379" i="57" s="1"/>
  <c r="K415" i="57"/>
  <c r="D416" i="57"/>
  <c r="J416" i="57" s="1"/>
  <c r="D380" i="57"/>
  <c r="J380" i="57" s="1"/>
  <c r="L436" i="57"/>
  <c r="L437" i="57"/>
  <c r="K439" i="57"/>
  <c r="L425" i="57"/>
  <c r="L427" i="57"/>
  <c r="L422" i="57"/>
  <c r="L419" i="57"/>
  <c r="D435" i="57"/>
  <c r="L401" i="57"/>
  <c r="J421" i="57"/>
  <c r="L421" i="57" s="1"/>
  <c r="L420" i="57"/>
  <c r="L418" i="57"/>
  <c r="L429" i="57"/>
  <c r="L428" i="57"/>
  <c r="D417" i="57"/>
  <c r="L400" i="57"/>
  <c r="L411" i="57"/>
  <c r="L402" i="57"/>
  <c r="L391" i="57"/>
  <c r="L389" i="57"/>
  <c r="L393" i="57"/>
  <c r="L384" i="57"/>
  <c r="D399" i="57"/>
  <c r="J378" i="57"/>
  <c r="K378" i="57"/>
  <c r="L392" i="57"/>
  <c r="D385" i="57"/>
  <c r="L383" i="57"/>
  <c r="L397" i="57" l="1"/>
  <c r="K381" i="57"/>
  <c r="L381" i="57" s="1"/>
  <c r="J398" i="57"/>
  <c r="K398" i="57"/>
  <c r="L415" i="57"/>
  <c r="L403" i="57"/>
  <c r="J457" i="57"/>
  <c r="K457" i="57"/>
  <c r="J452" i="57"/>
  <c r="K452" i="57"/>
  <c r="K434" i="57"/>
  <c r="L434" i="57" s="1"/>
  <c r="L378" i="57"/>
  <c r="K453" i="57"/>
  <c r="J453" i="57"/>
  <c r="L433" i="57"/>
  <c r="L439" i="57"/>
  <c r="K379" i="57"/>
  <c r="L379" i="57" s="1"/>
  <c r="G380" i="57"/>
  <c r="K380" i="57"/>
  <c r="L380" i="57" s="1"/>
  <c r="K416" i="57"/>
  <c r="L416" i="57" s="1"/>
  <c r="J435" i="57"/>
  <c r="K435" i="57"/>
  <c r="J417" i="57"/>
  <c r="K417" i="57"/>
  <c r="J399" i="57"/>
  <c r="K399" i="57"/>
  <c r="K382" i="57"/>
  <c r="J382" i="57"/>
  <c r="J385" i="57"/>
  <c r="K385" i="57"/>
  <c r="G385" i="57"/>
  <c r="L398" i="57" l="1"/>
  <c r="L453" i="57"/>
  <c r="L452" i="57"/>
  <c r="L457" i="57"/>
  <c r="L382" i="57"/>
  <c r="L417" i="57"/>
  <c r="L435" i="57"/>
  <c r="L399" i="57"/>
  <c r="L385" i="57"/>
  <c r="L374" i="57" l="1"/>
  <c r="C374" i="57"/>
  <c r="L373" i="57"/>
  <c r="L372" i="57"/>
  <c r="L371" i="57"/>
  <c r="C371" i="57"/>
  <c r="L370" i="57"/>
  <c r="C370" i="57"/>
  <c r="L369" i="57"/>
  <c r="C369" i="57"/>
  <c r="L368" i="57"/>
  <c r="C368" i="57"/>
  <c r="L367" i="57"/>
  <c r="C367" i="57"/>
  <c r="F366" i="57"/>
  <c r="C366" i="57"/>
  <c r="L365" i="57"/>
  <c r="C365" i="57"/>
  <c r="L364" i="57"/>
  <c r="C364" i="57"/>
  <c r="C363" i="57"/>
  <c r="F362" i="57"/>
  <c r="C362" i="57"/>
  <c r="C361" i="57"/>
  <c r="D360" i="57"/>
  <c r="C360" i="57"/>
  <c r="D357" i="57"/>
  <c r="D35" i="218" s="1"/>
  <c r="D362" i="57" l="1"/>
  <c r="K362" i="57" s="1"/>
  <c r="K360" i="57"/>
  <c r="J360" i="57"/>
  <c r="D361" i="57"/>
  <c r="D366" i="57"/>
  <c r="D363" i="57"/>
  <c r="K361" i="57" l="1"/>
  <c r="L360" i="57"/>
  <c r="J361" i="57"/>
  <c r="G362" i="57"/>
  <c r="J362" i="57"/>
  <c r="L362" i="57" s="1"/>
  <c r="K363" i="57"/>
  <c r="J363" i="57"/>
  <c r="K366" i="57"/>
  <c r="J366" i="57"/>
  <c r="G366" i="57"/>
  <c r="K356" i="57"/>
  <c r="J356" i="57"/>
  <c r="K355" i="57"/>
  <c r="L355" i="57" s="1"/>
  <c r="K353" i="57"/>
  <c r="L353" i="57" s="1"/>
  <c r="K352" i="57"/>
  <c r="K351" i="57"/>
  <c r="L351" i="57" s="1"/>
  <c r="J354" i="57"/>
  <c r="L354" i="57" s="1"/>
  <c r="J352" i="57"/>
  <c r="J350" i="57"/>
  <c r="L350" i="57" s="1"/>
  <c r="J345" i="57"/>
  <c r="K345" i="57"/>
  <c r="J346" i="57"/>
  <c r="K346" i="57"/>
  <c r="J347" i="57"/>
  <c r="K347" i="57"/>
  <c r="J349" i="57"/>
  <c r="K349" i="57"/>
  <c r="C355" i="57"/>
  <c r="C354" i="57"/>
  <c r="C353" i="57"/>
  <c r="C356" i="57"/>
  <c r="C352" i="57"/>
  <c r="C351" i="57"/>
  <c r="C350" i="57"/>
  <c r="C349" i="57"/>
  <c r="C348" i="57"/>
  <c r="C347" i="57"/>
  <c r="C346" i="57"/>
  <c r="C345" i="57"/>
  <c r="C344" i="57"/>
  <c r="C343" i="57"/>
  <c r="D342" i="57"/>
  <c r="K342" i="57" s="1"/>
  <c r="C342" i="57"/>
  <c r="D339" i="57"/>
  <c r="D34" i="218" s="1"/>
  <c r="K338" i="57"/>
  <c r="K337" i="57"/>
  <c r="L337" i="57" s="1"/>
  <c r="K334" i="57"/>
  <c r="K335" i="57"/>
  <c r="L335" i="57" s="1"/>
  <c r="K333" i="57"/>
  <c r="L333" i="57" s="1"/>
  <c r="J336" i="57"/>
  <c r="L336" i="57" s="1"/>
  <c r="J334" i="57"/>
  <c r="J332" i="57"/>
  <c r="L332" i="57" s="1"/>
  <c r="J327" i="57"/>
  <c r="K327" i="57"/>
  <c r="J328" i="57"/>
  <c r="K328" i="57"/>
  <c r="J329" i="57"/>
  <c r="K329" i="57"/>
  <c r="J331" i="57"/>
  <c r="K331" i="57"/>
  <c r="C337" i="57"/>
  <c r="C336" i="57"/>
  <c r="J338" i="57"/>
  <c r="C338" i="57"/>
  <c r="C335" i="57"/>
  <c r="C334" i="57"/>
  <c r="C333" i="57"/>
  <c r="C332" i="57"/>
  <c r="C331" i="57"/>
  <c r="C330" i="57"/>
  <c r="C329" i="57"/>
  <c r="C328" i="57"/>
  <c r="C327" i="57"/>
  <c r="C326" i="57"/>
  <c r="C325" i="57"/>
  <c r="D324" i="57"/>
  <c r="K324" i="57" s="1"/>
  <c r="C324" i="57"/>
  <c r="D321" i="57"/>
  <c r="D33" i="218" s="1"/>
  <c r="K320" i="57"/>
  <c r="K319" i="57"/>
  <c r="L319" i="57" s="1"/>
  <c r="K316" i="57"/>
  <c r="K317" i="57"/>
  <c r="L317" i="57" s="1"/>
  <c r="K315" i="57"/>
  <c r="L315" i="57" s="1"/>
  <c r="J318" i="57"/>
  <c r="L318" i="57" s="1"/>
  <c r="J316" i="57"/>
  <c r="J314" i="57"/>
  <c r="L314" i="57" s="1"/>
  <c r="J309" i="57"/>
  <c r="K309" i="57"/>
  <c r="J310" i="57"/>
  <c r="K310" i="57"/>
  <c r="J311" i="57"/>
  <c r="K311" i="57"/>
  <c r="J313" i="57"/>
  <c r="K313" i="57"/>
  <c r="C319" i="57"/>
  <c r="C318" i="57"/>
  <c r="J320" i="57"/>
  <c r="C320" i="57"/>
  <c r="C317" i="57"/>
  <c r="C316" i="57"/>
  <c r="C315" i="57"/>
  <c r="C314" i="57"/>
  <c r="C313" i="57"/>
  <c r="C312" i="57"/>
  <c r="C311" i="57"/>
  <c r="C310" i="57"/>
  <c r="C309" i="57"/>
  <c r="C308" i="57"/>
  <c r="C307" i="57"/>
  <c r="D306" i="57"/>
  <c r="K306" i="57" s="1"/>
  <c r="C306" i="57"/>
  <c r="D303" i="57"/>
  <c r="D32" i="218" s="1"/>
  <c r="K302" i="57"/>
  <c r="K301" i="57"/>
  <c r="K299" i="57"/>
  <c r="L299" i="57" s="1"/>
  <c r="K298" i="57"/>
  <c r="K297" i="57"/>
  <c r="L297" i="57" s="1"/>
  <c r="J302" i="57"/>
  <c r="J300" i="57"/>
  <c r="L300" i="57" s="1"/>
  <c r="J298" i="57"/>
  <c r="J296" i="57"/>
  <c r="L296" i="57" s="1"/>
  <c r="J291" i="57"/>
  <c r="K291" i="57"/>
  <c r="J292" i="57"/>
  <c r="K292" i="57"/>
  <c r="J293" i="57"/>
  <c r="K293" i="57"/>
  <c r="J295" i="57"/>
  <c r="K295" i="57"/>
  <c r="C300" i="57"/>
  <c r="C301" i="57"/>
  <c r="C302" i="57"/>
  <c r="C299" i="57"/>
  <c r="C298" i="57"/>
  <c r="C297" i="57"/>
  <c r="C296" i="57"/>
  <c r="C295" i="57"/>
  <c r="C294" i="57"/>
  <c r="C293" i="57"/>
  <c r="C292" i="57"/>
  <c r="C291" i="57"/>
  <c r="C290" i="57"/>
  <c r="C289" i="57"/>
  <c r="D288" i="57"/>
  <c r="K288" i="57" s="1"/>
  <c r="C288" i="57"/>
  <c r="K284" i="57"/>
  <c r="K280" i="57"/>
  <c r="K281" i="57"/>
  <c r="L281" i="57" s="1"/>
  <c r="K283" i="57"/>
  <c r="L283" i="57" s="1"/>
  <c r="K279" i="57"/>
  <c r="L279" i="57" s="1"/>
  <c r="J284" i="57"/>
  <c r="J282" i="57"/>
  <c r="J280" i="57"/>
  <c r="J278" i="57"/>
  <c r="L278" i="57" s="1"/>
  <c r="J274" i="57"/>
  <c r="K274" i="57"/>
  <c r="J275" i="57"/>
  <c r="K275" i="57"/>
  <c r="J277" i="57"/>
  <c r="K277" i="57"/>
  <c r="D285" i="57"/>
  <c r="D31" i="218" s="1"/>
  <c r="C283" i="57"/>
  <c r="C282" i="57"/>
  <c r="K263" i="57"/>
  <c r="L263" i="57" s="1"/>
  <c r="C263" i="57"/>
  <c r="C284" i="57"/>
  <c r="C281" i="57"/>
  <c r="C280" i="57"/>
  <c r="C279" i="57"/>
  <c r="C278" i="57"/>
  <c r="C277" i="57"/>
  <c r="F276" i="57"/>
  <c r="C276" i="57"/>
  <c r="C275" i="57"/>
  <c r="C274" i="57"/>
  <c r="C273" i="57"/>
  <c r="C272" i="57"/>
  <c r="F271" i="57"/>
  <c r="C271" i="57"/>
  <c r="C270" i="57"/>
  <c r="D269" i="57"/>
  <c r="C269" i="57"/>
  <c r="D266" i="57"/>
  <c r="D30" i="218" s="1"/>
  <c r="J265" i="57"/>
  <c r="J261" i="57"/>
  <c r="J259" i="57"/>
  <c r="K265" i="57"/>
  <c r="K261" i="57"/>
  <c r="K262" i="57"/>
  <c r="K264" i="57"/>
  <c r="L264" i="57" s="1"/>
  <c r="K260" i="57"/>
  <c r="J255" i="57"/>
  <c r="K255" i="57"/>
  <c r="J256" i="57"/>
  <c r="K256" i="57"/>
  <c r="J258" i="57"/>
  <c r="K258" i="57"/>
  <c r="C264" i="57"/>
  <c r="L173" i="1"/>
  <c r="I173" i="1"/>
  <c r="F920" i="57" l="1"/>
  <c r="G920" i="57" s="1"/>
  <c r="F912" i="57"/>
  <c r="G912" i="57" s="1"/>
  <c r="F904" i="57"/>
  <c r="G904" i="57" s="1"/>
  <c r="N173" i="1"/>
  <c r="F616" i="57"/>
  <c r="G616" i="57" s="1"/>
  <c r="F634" i="57"/>
  <c r="G634" i="57" s="1"/>
  <c r="F579" i="57"/>
  <c r="G579" i="57" s="1"/>
  <c r="F652" i="57"/>
  <c r="G652" i="57" s="1"/>
  <c r="F670" i="57"/>
  <c r="G670" i="57" s="1"/>
  <c r="F598" i="57"/>
  <c r="G598" i="57" s="1"/>
  <c r="F301" i="57"/>
  <c r="G301" i="57" s="1"/>
  <c r="F319" i="57"/>
  <c r="G319" i="57" s="1"/>
  <c r="F355" i="57"/>
  <c r="G355" i="57" s="1"/>
  <c r="F337" i="57"/>
  <c r="G337" i="57" s="1"/>
  <c r="F264" i="57"/>
  <c r="G264" i="57" s="1"/>
  <c r="F283" i="57"/>
  <c r="G283" i="57" s="1"/>
  <c r="L361" i="57"/>
  <c r="L363" i="57"/>
  <c r="K269" i="57"/>
  <c r="D273" i="57"/>
  <c r="L366" i="57"/>
  <c r="L356" i="57"/>
  <c r="L334" i="57"/>
  <c r="J342" i="57"/>
  <c r="L342" i="57" s="1"/>
  <c r="L345" i="57"/>
  <c r="L347" i="57"/>
  <c r="L338" i="57"/>
  <c r="J324" i="57"/>
  <c r="L324" i="57" s="1"/>
  <c r="L346" i="57"/>
  <c r="D343" i="57"/>
  <c r="L352" i="57"/>
  <c r="D348" i="57"/>
  <c r="L349" i="57"/>
  <c r="L329" i="57"/>
  <c r="D344" i="57"/>
  <c r="L328" i="57"/>
  <c r="L316" i="57"/>
  <c r="L327" i="57"/>
  <c r="J306" i="57"/>
  <c r="L306" i="57" s="1"/>
  <c r="D330" i="57"/>
  <c r="D325" i="57"/>
  <c r="L331" i="57"/>
  <c r="D326" i="57"/>
  <c r="L311" i="57"/>
  <c r="L320" i="57"/>
  <c r="L277" i="57"/>
  <c r="J269" i="57"/>
  <c r="D312" i="57"/>
  <c r="D307" i="57"/>
  <c r="L310" i="57"/>
  <c r="L293" i="57"/>
  <c r="L309" i="57"/>
  <c r="J288" i="57"/>
  <c r="L288" i="57" s="1"/>
  <c r="L295" i="57"/>
  <c r="L313" i="57"/>
  <c r="D308" i="57"/>
  <c r="L302" i="57"/>
  <c r="L291" i="57"/>
  <c r="L298" i="57"/>
  <c r="L282" i="57"/>
  <c r="L292" i="57"/>
  <c r="D294" i="57"/>
  <c r="D289" i="57"/>
  <c r="D290" i="57"/>
  <c r="L280" i="57"/>
  <c r="L275" i="57"/>
  <c r="D270" i="57"/>
  <c r="D271" i="57"/>
  <c r="L274" i="57"/>
  <c r="L284" i="57"/>
  <c r="D276" i="57"/>
  <c r="D272" i="57"/>
  <c r="L269" i="57" l="1"/>
  <c r="K348" i="57"/>
  <c r="J348" i="57"/>
  <c r="J344" i="57"/>
  <c r="K344" i="57"/>
  <c r="K343" i="57"/>
  <c r="J343" i="57"/>
  <c r="K330" i="57"/>
  <c r="J330" i="57"/>
  <c r="J325" i="57"/>
  <c r="K325" i="57"/>
  <c r="J326" i="57"/>
  <c r="K326" i="57"/>
  <c r="J312" i="57"/>
  <c r="K312" i="57"/>
  <c r="K308" i="57"/>
  <c r="J308" i="57"/>
  <c r="J307" i="57"/>
  <c r="K307" i="57"/>
  <c r="J290" i="57"/>
  <c r="K290" i="57"/>
  <c r="J289" i="57"/>
  <c r="K289" i="57"/>
  <c r="J294" i="57"/>
  <c r="K294" i="57"/>
  <c r="J272" i="57"/>
  <c r="K272" i="57"/>
  <c r="K270" i="57"/>
  <c r="J270" i="57"/>
  <c r="J276" i="57"/>
  <c r="K276" i="57"/>
  <c r="G271" i="57"/>
  <c r="J271" i="57"/>
  <c r="K271" i="57"/>
  <c r="J273" i="57"/>
  <c r="K273" i="57"/>
  <c r="G276" i="57"/>
  <c r="D248" i="57"/>
  <c r="D29" i="218" s="1"/>
  <c r="C265" i="57"/>
  <c r="L262" i="57"/>
  <c r="C262" i="57"/>
  <c r="L261" i="57"/>
  <c r="C261" i="57"/>
  <c r="L260" i="57"/>
  <c r="C260" i="57"/>
  <c r="L259" i="57"/>
  <c r="C259" i="57"/>
  <c r="C258" i="57"/>
  <c r="F257" i="57"/>
  <c r="C257" i="57"/>
  <c r="C256" i="57"/>
  <c r="L255" i="57"/>
  <c r="C255" i="57"/>
  <c r="C254" i="57"/>
  <c r="F253" i="57"/>
  <c r="C253" i="57"/>
  <c r="C252" i="57"/>
  <c r="D251" i="57"/>
  <c r="C251" i="57"/>
  <c r="K247" i="57"/>
  <c r="K246" i="57"/>
  <c r="L246" i="57" s="1"/>
  <c r="K245" i="57"/>
  <c r="K244" i="57"/>
  <c r="L244" i="57" s="1"/>
  <c r="J247" i="57"/>
  <c r="J245" i="57"/>
  <c r="J243" i="57"/>
  <c r="L243" i="57" s="1"/>
  <c r="J238" i="57"/>
  <c r="K238" i="57"/>
  <c r="J239" i="57"/>
  <c r="K239" i="57"/>
  <c r="J240" i="57"/>
  <c r="K240" i="57"/>
  <c r="J242" i="57"/>
  <c r="K242" i="57"/>
  <c r="D232" i="57"/>
  <c r="D28" i="218" s="1"/>
  <c r="C247" i="57"/>
  <c r="C246" i="57"/>
  <c r="C245" i="57"/>
  <c r="C244" i="57"/>
  <c r="C243" i="57"/>
  <c r="C242" i="57"/>
  <c r="C241" i="57"/>
  <c r="C240" i="57"/>
  <c r="C239" i="57"/>
  <c r="C238" i="57"/>
  <c r="C237" i="57"/>
  <c r="C236" i="57"/>
  <c r="D235" i="57"/>
  <c r="K235" i="57" s="1"/>
  <c r="C235" i="57"/>
  <c r="K231" i="57"/>
  <c r="K229" i="57"/>
  <c r="K230" i="57"/>
  <c r="L230" i="57" s="1"/>
  <c r="K228" i="57"/>
  <c r="L228" i="57" s="1"/>
  <c r="J231" i="57"/>
  <c r="J229" i="57"/>
  <c r="J227" i="57"/>
  <c r="L227" i="57" s="1"/>
  <c r="J222" i="57"/>
  <c r="K222" i="57"/>
  <c r="J223" i="57"/>
  <c r="K223" i="57"/>
  <c r="J224" i="57"/>
  <c r="K224" i="57"/>
  <c r="J226" i="57"/>
  <c r="K226" i="57"/>
  <c r="D216" i="57"/>
  <c r="D27" i="218" s="1"/>
  <c r="C231" i="57"/>
  <c r="C230" i="57"/>
  <c r="C229" i="57"/>
  <c r="C228" i="57"/>
  <c r="C227" i="57"/>
  <c r="C226" i="57"/>
  <c r="C225" i="57"/>
  <c r="C224" i="57"/>
  <c r="C223" i="57"/>
  <c r="C222" i="57"/>
  <c r="C221" i="57"/>
  <c r="C220" i="57"/>
  <c r="D219" i="57"/>
  <c r="K219" i="57" s="1"/>
  <c r="C219" i="57"/>
  <c r="K215" i="57"/>
  <c r="K213" i="57"/>
  <c r="K214" i="57"/>
  <c r="L214" i="57" s="1"/>
  <c r="K212" i="57"/>
  <c r="L212" i="57" s="1"/>
  <c r="J215" i="57"/>
  <c r="J213" i="57"/>
  <c r="J211" i="57"/>
  <c r="L211" i="57" s="1"/>
  <c r="J206" i="57"/>
  <c r="K206" i="57"/>
  <c r="J207" i="57"/>
  <c r="K207" i="57"/>
  <c r="J208" i="57"/>
  <c r="K208" i="57"/>
  <c r="J210" i="57"/>
  <c r="K210" i="57"/>
  <c r="C215" i="57"/>
  <c r="C214" i="57"/>
  <c r="C213" i="57"/>
  <c r="C212" i="57"/>
  <c r="C211" i="57"/>
  <c r="C210" i="57"/>
  <c r="C209" i="57"/>
  <c r="C208" i="57"/>
  <c r="C207" i="57"/>
  <c r="C206" i="57"/>
  <c r="C205" i="57"/>
  <c r="C204" i="57"/>
  <c r="D203" i="57"/>
  <c r="D205" i="57" s="1"/>
  <c r="K205" i="57" s="1"/>
  <c r="C203" i="57"/>
  <c r="D200" i="57"/>
  <c r="D26" i="218" s="1"/>
  <c r="K199" i="57"/>
  <c r="K198" i="57"/>
  <c r="L198" i="57" s="1"/>
  <c r="K197" i="57"/>
  <c r="K196" i="57"/>
  <c r="L196" i="57" s="1"/>
  <c r="J199" i="57"/>
  <c r="J197" i="57"/>
  <c r="K190" i="57"/>
  <c r="K191" i="57"/>
  <c r="K192" i="57"/>
  <c r="K194" i="57"/>
  <c r="J195" i="57"/>
  <c r="L195" i="57" s="1"/>
  <c r="J190" i="57"/>
  <c r="J191" i="57"/>
  <c r="J192" i="57"/>
  <c r="J194" i="57"/>
  <c r="C198" i="57"/>
  <c r="K182" i="57"/>
  <c r="L182" i="57" s="1"/>
  <c r="C182" i="57"/>
  <c r="K165" i="57"/>
  <c r="C165" i="57"/>
  <c r="L172" i="1"/>
  <c r="F214" i="57" s="1"/>
  <c r="G214" i="57" s="1"/>
  <c r="I172" i="1"/>
  <c r="D184" i="57"/>
  <c r="D25" i="218" s="1"/>
  <c r="C188" i="57"/>
  <c r="O188" i="57"/>
  <c r="C199" i="57"/>
  <c r="C197" i="57"/>
  <c r="C196" i="57"/>
  <c r="C195" i="57"/>
  <c r="C194" i="57"/>
  <c r="C193" i="57"/>
  <c r="C192" i="57"/>
  <c r="C191" i="57"/>
  <c r="C190" i="57"/>
  <c r="C189" i="57"/>
  <c r="D187" i="57"/>
  <c r="D193" i="57" s="1"/>
  <c r="J193" i="57" s="1"/>
  <c r="C187" i="57"/>
  <c r="D167" i="57"/>
  <c r="D24" i="218" s="1"/>
  <c r="K183" i="57"/>
  <c r="K181" i="57"/>
  <c r="K180" i="57"/>
  <c r="L180" i="57" s="1"/>
  <c r="K175" i="57"/>
  <c r="K176" i="57"/>
  <c r="K178" i="57"/>
  <c r="J183" i="57"/>
  <c r="J181" i="57"/>
  <c r="J179" i="57"/>
  <c r="L179" i="57" s="1"/>
  <c r="J175" i="57"/>
  <c r="J176" i="57"/>
  <c r="J178" i="57"/>
  <c r="C174" i="57"/>
  <c r="C183" i="57"/>
  <c r="C181" i="57"/>
  <c r="C180" i="57"/>
  <c r="C179" i="57"/>
  <c r="C178" i="57"/>
  <c r="F177" i="57"/>
  <c r="C177" i="57"/>
  <c r="C176" i="57"/>
  <c r="C175" i="57"/>
  <c r="C173" i="57"/>
  <c r="F172" i="57"/>
  <c r="C172" i="57"/>
  <c r="C171" i="57"/>
  <c r="D170" i="57"/>
  <c r="C170" i="57"/>
  <c r="F165" i="57" l="1"/>
  <c r="G165" i="57" s="1"/>
  <c r="F182" i="57"/>
  <c r="G182" i="57" s="1"/>
  <c r="F198" i="57"/>
  <c r="G198" i="57" s="1"/>
  <c r="N172" i="1"/>
  <c r="F561" i="57"/>
  <c r="G561" i="57" s="1"/>
  <c r="F480" i="57"/>
  <c r="G480" i="57" s="1"/>
  <c r="F723" i="57"/>
  <c r="G723" i="57" s="1"/>
  <c r="F705" i="57"/>
  <c r="G705" i="57" s="1"/>
  <c r="F596" i="57"/>
  <c r="G596" i="57" s="1"/>
  <c r="F545" i="57"/>
  <c r="G545" i="57" s="1"/>
  <c r="F497" i="57"/>
  <c r="G497" i="57" s="1"/>
  <c r="F777" i="57"/>
  <c r="G777" i="57" s="1"/>
  <c r="F614" i="57"/>
  <c r="G614" i="57" s="1"/>
  <c r="F529" i="57"/>
  <c r="G529" i="57" s="1"/>
  <c r="F513" i="57"/>
  <c r="G513" i="57" s="1"/>
  <c r="F686" i="57"/>
  <c r="G686" i="57" s="1"/>
  <c r="F632" i="57"/>
  <c r="G632" i="57" s="1"/>
  <c r="F577" i="57"/>
  <c r="G577" i="57" s="1"/>
  <c r="F650" i="57"/>
  <c r="G650" i="57" s="1"/>
  <c r="F759" i="57"/>
  <c r="G759" i="57" s="1"/>
  <c r="F668" i="57"/>
  <c r="G668" i="57" s="1"/>
  <c r="F741" i="57"/>
  <c r="G741" i="57" s="1"/>
  <c r="F462" i="57"/>
  <c r="G462" i="57" s="1"/>
  <c r="F444" i="57"/>
  <c r="G444" i="57" s="1"/>
  <c r="F426" i="57"/>
  <c r="G426" i="57" s="1"/>
  <c r="F408" i="57"/>
  <c r="G408" i="57" s="1"/>
  <c r="F390" i="57"/>
  <c r="G390" i="57" s="1"/>
  <c r="F371" i="57"/>
  <c r="G371" i="57" s="1"/>
  <c r="F317" i="57"/>
  <c r="G317" i="57" s="1"/>
  <c r="F281" i="57"/>
  <c r="G281" i="57" s="1"/>
  <c r="F353" i="57"/>
  <c r="G353" i="57" s="1"/>
  <c r="F335" i="57"/>
  <c r="G335" i="57" s="1"/>
  <c r="F299" i="57"/>
  <c r="G299" i="57" s="1"/>
  <c r="F262" i="57"/>
  <c r="G262" i="57" s="1"/>
  <c r="F230" i="57"/>
  <c r="G230" i="57" s="1"/>
  <c r="F246" i="57"/>
  <c r="G246" i="57" s="1"/>
  <c r="D171" i="57"/>
  <c r="D174" i="57"/>
  <c r="L330" i="57"/>
  <c r="L348" i="57"/>
  <c r="L343" i="57"/>
  <c r="L344" i="57"/>
  <c r="L325" i="57"/>
  <c r="L312" i="57"/>
  <c r="L307" i="57"/>
  <c r="L326" i="57"/>
  <c r="L294" i="57"/>
  <c r="L289" i="57"/>
  <c r="L308" i="57"/>
  <c r="L270" i="57"/>
  <c r="L290" i="57"/>
  <c r="L273" i="57"/>
  <c r="L271" i="57"/>
  <c r="L276" i="57"/>
  <c r="L272" i="57"/>
  <c r="K251" i="57"/>
  <c r="J251" i="57"/>
  <c r="L242" i="57"/>
  <c r="L231" i="57"/>
  <c r="L256" i="57"/>
  <c r="D252" i="57"/>
  <c r="L245" i="57"/>
  <c r="L247" i="57"/>
  <c r="L258" i="57"/>
  <c r="L265" i="57"/>
  <c r="AE87" i="216" s="1"/>
  <c r="D257" i="57"/>
  <c r="D254" i="57"/>
  <c r="D253" i="57"/>
  <c r="L229" i="57"/>
  <c r="D236" i="57"/>
  <c r="J236" i="57" s="1"/>
  <c r="D241" i="57"/>
  <c r="L239" i="57"/>
  <c r="J235" i="57"/>
  <c r="L235" i="57" s="1"/>
  <c r="L238" i="57"/>
  <c r="L240" i="57"/>
  <c r="D237" i="57"/>
  <c r="L223" i="57"/>
  <c r="L213" i="57"/>
  <c r="L215" i="57"/>
  <c r="L226" i="57"/>
  <c r="D225" i="57"/>
  <c r="J219" i="57"/>
  <c r="L219" i="57" s="1"/>
  <c r="L222" i="57"/>
  <c r="L224" i="57"/>
  <c r="L208" i="57"/>
  <c r="D220" i="57"/>
  <c r="D221" i="57"/>
  <c r="L207" i="57"/>
  <c r="K187" i="57"/>
  <c r="K203" i="57"/>
  <c r="D209" i="57"/>
  <c r="K209" i="57" s="1"/>
  <c r="L206" i="57"/>
  <c r="J205" i="57"/>
  <c r="L210" i="57"/>
  <c r="J187" i="57"/>
  <c r="L199" i="57"/>
  <c r="J203" i="57"/>
  <c r="D204" i="57"/>
  <c r="K193" i="57"/>
  <c r="L194" i="57"/>
  <c r="L165" i="57"/>
  <c r="L197" i="57"/>
  <c r="L176" i="57"/>
  <c r="L175" i="57"/>
  <c r="L191" i="57"/>
  <c r="L178" i="57"/>
  <c r="D188" i="57"/>
  <c r="L181" i="57"/>
  <c r="J170" i="57"/>
  <c r="L183" i="57"/>
  <c r="L192" i="57"/>
  <c r="K170" i="57"/>
  <c r="D189" i="57"/>
  <c r="D177" i="57"/>
  <c r="G177" i="57" s="1"/>
  <c r="D172" i="57"/>
  <c r="D173" i="57"/>
  <c r="K171" i="57" l="1"/>
  <c r="J171" i="57"/>
  <c r="J241" i="57"/>
  <c r="K241" i="57"/>
  <c r="J257" i="57"/>
  <c r="K257" i="57"/>
  <c r="J252" i="57"/>
  <c r="K252" i="57"/>
  <c r="J253" i="57"/>
  <c r="K253" i="57"/>
  <c r="J254" i="57"/>
  <c r="K254" i="57"/>
  <c r="K236" i="57"/>
  <c r="L236" i="57" s="1"/>
  <c r="G253" i="57"/>
  <c r="L251" i="57"/>
  <c r="G257" i="57"/>
  <c r="K237" i="57"/>
  <c r="J237" i="57"/>
  <c r="J225" i="57"/>
  <c r="K225" i="57"/>
  <c r="K221" i="57"/>
  <c r="J221" i="57"/>
  <c r="J220" i="57"/>
  <c r="K220" i="57"/>
  <c r="J209" i="57"/>
  <c r="L209" i="57" s="1"/>
  <c r="L203" i="57"/>
  <c r="J204" i="57"/>
  <c r="K204" i="57"/>
  <c r="K188" i="57"/>
  <c r="J188" i="57"/>
  <c r="K189" i="57"/>
  <c r="J189" i="57"/>
  <c r="L205" i="57"/>
  <c r="L170" i="57"/>
  <c r="L190" i="57"/>
  <c r="J173" i="57"/>
  <c r="K173" i="57"/>
  <c r="J172" i="57"/>
  <c r="K172" i="57"/>
  <c r="J177" i="57"/>
  <c r="K177" i="57"/>
  <c r="K174" i="57"/>
  <c r="J174" i="57"/>
  <c r="L187" i="57"/>
  <c r="L193" i="57"/>
  <c r="G172" i="57"/>
  <c r="L171" i="57" l="1"/>
  <c r="L252" i="57"/>
  <c r="L241" i="57"/>
  <c r="L253" i="57"/>
  <c r="L254" i="57"/>
  <c r="L257" i="57"/>
  <c r="L237" i="57"/>
  <c r="L220" i="57"/>
  <c r="L221" i="57"/>
  <c r="L225" i="57"/>
  <c r="L204" i="57"/>
  <c r="L174" i="57"/>
  <c r="L172" i="57"/>
  <c r="L188" i="57"/>
  <c r="L177" i="57"/>
  <c r="L173" i="57"/>
  <c r="L189" i="57"/>
  <c r="D151" i="57" l="1"/>
  <c r="D23" i="218" s="1"/>
  <c r="J164" i="57"/>
  <c r="J166" i="57"/>
  <c r="K166" i="57"/>
  <c r="K164" i="57"/>
  <c r="K163" i="57"/>
  <c r="L163" i="57" s="1"/>
  <c r="AE84" i="216" s="1"/>
  <c r="K158" i="57"/>
  <c r="K159" i="57"/>
  <c r="K161" i="57"/>
  <c r="J158" i="57"/>
  <c r="J159" i="57"/>
  <c r="J161" i="57"/>
  <c r="J162" i="57"/>
  <c r="L162" i="57" s="1"/>
  <c r="C163" i="57"/>
  <c r="C164" i="57"/>
  <c r="C162" i="57"/>
  <c r="C161" i="57"/>
  <c r="C159" i="57"/>
  <c r="C158" i="57"/>
  <c r="C166" i="57"/>
  <c r="F160" i="57"/>
  <c r="C160" i="57"/>
  <c r="C157" i="57"/>
  <c r="F156" i="57"/>
  <c r="C156" i="57"/>
  <c r="C155" i="57"/>
  <c r="D154" i="57"/>
  <c r="D160" i="57" s="1"/>
  <c r="K160" i="57" s="1"/>
  <c r="C154" i="57"/>
  <c r="L158" i="57" l="1"/>
  <c r="L164" i="57"/>
  <c r="AE94" i="216" s="1"/>
  <c r="L161" i="57"/>
  <c r="L159" i="57"/>
  <c r="AE42" i="216" s="1"/>
  <c r="K154" i="57"/>
  <c r="J154" i="57"/>
  <c r="J160" i="57"/>
  <c r="L160" i="57" s="1"/>
  <c r="L166" i="57"/>
  <c r="G160" i="57"/>
  <c r="D157" i="57"/>
  <c r="D156" i="57"/>
  <c r="D155" i="57"/>
  <c r="K156" i="57" l="1"/>
  <c r="J156" i="57"/>
  <c r="J155" i="57"/>
  <c r="K155" i="57"/>
  <c r="K157" i="57"/>
  <c r="J157" i="57"/>
  <c r="G156" i="57"/>
  <c r="L157" i="57" l="1"/>
  <c r="L156" i="57"/>
  <c r="L155" i="57"/>
  <c r="K150" i="57" l="1"/>
  <c r="L150" i="57" s="1"/>
  <c r="K149" i="57"/>
  <c r="K146" i="57"/>
  <c r="J146" i="57"/>
  <c r="J148" i="57"/>
  <c r="L148" i="57" s="1"/>
  <c r="J149" i="57"/>
  <c r="D140" i="57"/>
  <c r="D22" i="218" s="1"/>
  <c r="C150" i="57"/>
  <c r="C149" i="57"/>
  <c r="C148" i="57"/>
  <c r="C147" i="57"/>
  <c r="C146" i="57"/>
  <c r="C145" i="57"/>
  <c r="C144" i="57"/>
  <c r="D143" i="57"/>
  <c r="D147" i="57" s="1"/>
  <c r="K147" i="57" s="1"/>
  <c r="C143" i="57"/>
  <c r="D135" i="57"/>
  <c r="K135" i="57" s="1"/>
  <c r="D129" i="57"/>
  <c r="D21" i="218" s="1"/>
  <c r="K139" i="57"/>
  <c r="L139" i="57" s="1"/>
  <c r="K138" i="57"/>
  <c r="J137" i="57"/>
  <c r="L137" i="57" s="1"/>
  <c r="J138" i="57"/>
  <c r="C139" i="57"/>
  <c r="C138" i="57"/>
  <c r="C137" i="57"/>
  <c r="C136" i="57"/>
  <c r="C135" i="57"/>
  <c r="C134" i="57"/>
  <c r="C133" i="57"/>
  <c r="D132" i="57"/>
  <c r="D133" i="57" s="1"/>
  <c r="K133" i="57" s="1"/>
  <c r="C132" i="57"/>
  <c r="K128" i="57"/>
  <c r="L128" i="57" s="1"/>
  <c r="K127" i="57"/>
  <c r="J126" i="57"/>
  <c r="L126" i="57" s="1"/>
  <c r="J127" i="57"/>
  <c r="J124" i="57"/>
  <c r="K124" i="57"/>
  <c r="D118" i="57"/>
  <c r="D20" i="218" s="1"/>
  <c r="C128" i="57"/>
  <c r="C127" i="57"/>
  <c r="C126" i="57"/>
  <c r="C125" i="57"/>
  <c r="C124" i="57"/>
  <c r="C123" i="57"/>
  <c r="C122" i="57"/>
  <c r="D121" i="57"/>
  <c r="D123" i="57" s="1"/>
  <c r="K123" i="57" s="1"/>
  <c r="C121" i="57"/>
  <c r="K117" i="57"/>
  <c r="L117" i="57" s="1"/>
  <c r="J114" i="57"/>
  <c r="K114" i="57"/>
  <c r="J115" i="57"/>
  <c r="L115" i="57" s="1"/>
  <c r="J116" i="57"/>
  <c r="K116" i="57"/>
  <c r="C113" i="57"/>
  <c r="D112" i="57"/>
  <c r="K112" i="57" s="1"/>
  <c r="D106" i="57"/>
  <c r="D19" i="218" s="1"/>
  <c r="C117" i="57"/>
  <c r="C116" i="57"/>
  <c r="C115" i="57"/>
  <c r="F114" i="57"/>
  <c r="C114" i="57"/>
  <c r="C112" i="57"/>
  <c r="C111" i="57"/>
  <c r="C110" i="57"/>
  <c r="D109" i="57"/>
  <c r="D113" i="57" s="1"/>
  <c r="C109" i="57"/>
  <c r="D94" i="57"/>
  <c r="D18" i="218" s="1"/>
  <c r="C101" i="57"/>
  <c r="K105" i="57"/>
  <c r="L105" i="57" s="1"/>
  <c r="C105" i="57"/>
  <c r="K104" i="57"/>
  <c r="J104" i="57"/>
  <c r="C104" i="57"/>
  <c r="J103" i="57"/>
  <c r="L103" i="57" s="1"/>
  <c r="C103" i="57"/>
  <c r="F102" i="57"/>
  <c r="C102" i="57"/>
  <c r="C100" i="57"/>
  <c r="F99" i="57"/>
  <c r="C99" i="57"/>
  <c r="C98" i="57"/>
  <c r="D97" i="57"/>
  <c r="C97" i="57"/>
  <c r="K92" i="57"/>
  <c r="J92" i="57"/>
  <c r="D83" i="57"/>
  <c r="D17" i="218" s="1"/>
  <c r="C92" i="57"/>
  <c r="K93" i="57"/>
  <c r="L93" i="57" s="1"/>
  <c r="J91" i="57"/>
  <c r="L91" i="57" s="1"/>
  <c r="K71" i="57"/>
  <c r="J71" i="57"/>
  <c r="J68" i="57"/>
  <c r="K68" i="57"/>
  <c r="C91" i="57"/>
  <c r="C93" i="57"/>
  <c r="L170" i="1"/>
  <c r="L171" i="1"/>
  <c r="N171" i="1" s="1"/>
  <c r="I170" i="1"/>
  <c r="I171" i="1"/>
  <c r="L169" i="1"/>
  <c r="I169" i="1"/>
  <c r="L168" i="1"/>
  <c r="I168" i="1"/>
  <c r="D86" i="57"/>
  <c r="D87" i="57" s="1"/>
  <c r="J87" i="57" s="1"/>
  <c r="F90" i="57"/>
  <c r="C90" i="57"/>
  <c r="C89" i="57"/>
  <c r="F88" i="57"/>
  <c r="C88" i="57"/>
  <c r="C87" i="57"/>
  <c r="C86" i="57"/>
  <c r="D62" i="57"/>
  <c r="D16" i="218" s="1"/>
  <c r="D52" i="57"/>
  <c r="D15" i="218" s="1"/>
  <c r="D42" i="57"/>
  <c r="D14" i="218" s="1"/>
  <c r="D31" i="57"/>
  <c r="D13" i="218" s="1"/>
  <c r="D20" i="57"/>
  <c r="D12" i="218" s="1"/>
  <c r="C71" i="57"/>
  <c r="C69" i="57"/>
  <c r="C68" i="57"/>
  <c r="C67" i="57"/>
  <c r="C66" i="57"/>
  <c r="D65" i="57"/>
  <c r="D66" i="57" s="1"/>
  <c r="J66" i="57" s="1"/>
  <c r="C65" i="57"/>
  <c r="C61" i="57"/>
  <c r="C59" i="57"/>
  <c r="C58" i="57"/>
  <c r="C57" i="57"/>
  <c r="C56" i="57"/>
  <c r="D55" i="57"/>
  <c r="C55" i="57"/>
  <c r="C51" i="57"/>
  <c r="C49" i="57"/>
  <c r="C48" i="57"/>
  <c r="C47" i="57"/>
  <c r="C46" i="57"/>
  <c r="D45" i="57"/>
  <c r="C45" i="57"/>
  <c r="K30" i="57"/>
  <c r="AE88" i="216" l="1"/>
  <c r="F126" i="57"/>
  <c r="G126" i="57" s="1"/>
  <c r="F60" i="57"/>
  <c r="G60" i="57" s="1"/>
  <c r="F40" i="57"/>
  <c r="G40" i="57" s="1"/>
  <c r="F29" i="57"/>
  <c r="G29" i="57" s="1"/>
  <c r="F50" i="57"/>
  <c r="G50" i="57" s="1"/>
  <c r="F70" i="57"/>
  <c r="G70" i="57" s="1"/>
  <c r="F18" i="57"/>
  <c r="G18" i="57" s="1"/>
  <c r="N170" i="1"/>
  <c r="F117" i="57"/>
  <c r="G117" i="57" s="1"/>
  <c r="F139" i="57"/>
  <c r="G139" i="57" s="1"/>
  <c r="F91" i="57"/>
  <c r="G91" i="57" s="1"/>
  <c r="F593" i="57"/>
  <c r="G593" i="57" s="1"/>
  <c r="F542" i="57"/>
  <c r="G542" i="57" s="1"/>
  <c r="F477" i="57"/>
  <c r="G477" i="57" s="1"/>
  <c r="F774" i="57"/>
  <c r="G774" i="57" s="1"/>
  <c r="F611" i="57"/>
  <c r="G611" i="57" s="1"/>
  <c r="F526" i="57"/>
  <c r="G526" i="57" s="1"/>
  <c r="F683" i="57"/>
  <c r="G683" i="57" s="1"/>
  <c r="F629" i="57"/>
  <c r="G629" i="57" s="1"/>
  <c r="F574" i="57"/>
  <c r="G574" i="57" s="1"/>
  <c r="F647" i="57"/>
  <c r="G647" i="57" s="1"/>
  <c r="F756" i="57"/>
  <c r="G756" i="57" s="1"/>
  <c r="F665" i="57"/>
  <c r="G665" i="57" s="1"/>
  <c r="F510" i="57"/>
  <c r="G510" i="57" s="1"/>
  <c r="F494" i="57"/>
  <c r="G494" i="57" s="1"/>
  <c r="F738" i="57"/>
  <c r="G738" i="57" s="1"/>
  <c r="F558" i="57"/>
  <c r="G558" i="57" s="1"/>
  <c r="F720" i="57"/>
  <c r="G720" i="57" s="1"/>
  <c r="F702" i="57"/>
  <c r="G702" i="57" s="1"/>
  <c r="F459" i="57"/>
  <c r="G459" i="57" s="1"/>
  <c r="F441" i="57"/>
  <c r="G441" i="57" s="1"/>
  <c r="F423" i="57"/>
  <c r="G423" i="57" s="1"/>
  <c r="F405" i="57"/>
  <c r="G405" i="57" s="1"/>
  <c r="F387" i="57"/>
  <c r="G387" i="57" s="1"/>
  <c r="F368" i="57"/>
  <c r="G368" i="57" s="1"/>
  <c r="F278" i="57"/>
  <c r="G278" i="57" s="1"/>
  <c r="F314" i="57"/>
  <c r="G314" i="57" s="1"/>
  <c r="F296" i="57"/>
  <c r="G296" i="57" s="1"/>
  <c r="F332" i="57"/>
  <c r="G332" i="57" s="1"/>
  <c r="F350" i="57"/>
  <c r="G350" i="57" s="1"/>
  <c r="F227" i="57"/>
  <c r="G227" i="57" s="1"/>
  <c r="F211" i="57"/>
  <c r="G211" i="57" s="1"/>
  <c r="F259" i="57"/>
  <c r="G259" i="57" s="1"/>
  <c r="F179" i="57"/>
  <c r="G179" i="57" s="1"/>
  <c r="F195" i="57"/>
  <c r="G195" i="57" s="1"/>
  <c r="F243" i="57"/>
  <c r="G243" i="57" s="1"/>
  <c r="F162" i="57"/>
  <c r="G162" i="57" s="1"/>
  <c r="F150" i="57"/>
  <c r="G150" i="57" s="1"/>
  <c r="F115" i="57"/>
  <c r="G115" i="57" s="1"/>
  <c r="F137" i="57"/>
  <c r="G137" i="57" s="1"/>
  <c r="N168" i="1"/>
  <c r="F612" i="57"/>
  <c r="G612" i="57" s="1"/>
  <c r="F666" i="57"/>
  <c r="G666" i="57" s="1"/>
  <c r="F559" i="57"/>
  <c r="G559" i="57" s="1"/>
  <c r="F442" i="57"/>
  <c r="G442" i="57" s="1"/>
  <c r="F424" i="57"/>
  <c r="G424" i="57" s="1"/>
  <c r="F406" i="57"/>
  <c r="G406" i="57" s="1"/>
  <c r="F388" i="57"/>
  <c r="G388" i="57" s="1"/>
  <c r="F460" i="57"/>
  <c r="G460" i="57" s="1"/>
  <c r="F369" i="57"/>
  <c r="G369" i="57" s="1"/>
  <c r="F279" i="57"/>
  <c r="G279" i="57" s="1"/>
  <c r="F297" i="57"/>
  <c r="G297" i="57" s="1"/>
  <c r="F315" i="57"/>
  <c r="G315" i="57" s="1"/>
  <c r="F333" i="57"/>
  <c r="G333" i="57" s="1"/>
  <c r="F351" i="57"/>
  <c r="G351" i="57" s="1"/>
  <c r="F260" i="57"/>
  <c r="G260" i="57" s="1"/>
  <c r="F180" i="57"/>
  <c r="G180" i="57" s="1"/>
  <c r="F196" i="57"/>
  <c r="G196" i="57" s="1"/>
  <c r="F244" i="57"/>
  <c r="G244" i="57" s="1"/>
  <c r="F228" i="57"/>
  <c r="G228" i="57" s="1"/>
  <c r="F212" i="57"/>
  <c r="G212" i="57" s="1"/>
  <c r="F163" i="57"/>
  <c r="G163" i="57" s="1"/>
  <c r="F128" i="57"/>
  <c r="G128" i="57" s="1"/>
  <c r="F105" i="57"/>
  <c r="G105" i="57" s="1"/>
  <c r="N169" i="1"/>
  <c r="F775" i="57"/>
  <c r="G775" i="57" s="1"/>
  <c r="F527" i="57"/>
  <c r="G527" i="57" s="1"/>
  <c r="F684" i="57"/>
  <c r="G684" i="57" s="1"/>
  <c r="F630" i="57"/>
  <c r="G630" i="57" s="1"/>
  <c r="F575" i="57"/>
  <c r="G575" i="57" s="1"/>
  <c r="F648" i="57"/>
  <c r="G648" i="57" s="1"/>
  <c r="F757" i="57"/>
  <c r="G757" i="57" s="1"/>
  <c r="F511" i="57"/>
  <c r="G511" i="57" s="1"/>
  <c r="F495" i="57"/>
  <c r="G495" i="57" s="1"/>
  <c r="F739" i="57"/>
  <c r="G739" i="57" s="1"/>
  <c r="F721" i="57"/>
  <c r="G721" i="57" s="1"/>
  <c r="F703" i="57"/>
  <c r="G703" i="57" s="1"/>
  <c r="F594" i="57"/>
  <c r="G594" i="57" s="1"/>
  <c r="F543" i="57"/>
  <c r="G543" i="57" s="1"/>
  <c r="F478" i="57"/>
  <c r="G478" i="57" s="1"/>
  <c r="F148" i="57"/>
  <c r="G148" i="57" s="1"/>
  <c r="F103" i="57"/>
  <c r="G103" i="57" s="1"/>
  <c r="D46" i="57"/>
  <c r="K45" i="57"/>
  <c r="J45" i="57"/>
  <c r="J55" i="57"/>
  <c r="K55" i="57"/>
  <c r="D102" i="57"/>
  <c r="K102" i="57" s="1"/>
  <c r="D101" i="57"/>
  <c r="J135" i="57"/>
  <c r="L135" i="57" s="1"/>
  <c r="K143" i="57"/>
  <c r="K132" i="57"/>
  <c r="J143" i="57"/>
  <c r="D134" i="57"/>
  <c r="K134" i="57" s="1"/>
  <c r="J132" i="57"/>
  <c r="L149" i="57"/>
  <c r="J147" i="57"/>
  <c r="J133" i="57"/>
  <c r="D145" i="57"/>
  <c r="L146" i="57"/>
  <c r="D144" i="57"/>
  <c r="L138" i="57"/>
  <c r="J123" i="57"/>
  <c r="L123" i="57" s="1"/>
  <c r="J121" i="57"/>
  <c r="D122" i="57"/>
  <c r="K121" i="57"/>
  <c r="D110" i="57"/>
  <c r="J110" i="57" s="1"/>
  <c r="D136" i="57"/>
  <c r="L127" i="57"/>
  <c r="D125" i="57"/>
  <c r="L114" i="57"/>
  <c r="L124" i="57"/>
  <c r="D111" i="57"/>
  <c r="K111" i="57" s="1"/>
  <c r="J109" i="57"/>
  <c r="L116" i="57"/>
  <c r="J112" i="57"/>
  <c r="L112" i="57" s="1"/>
  <c r="J113" i="57"/>
  <c r="K113" i="57"/>
  <c r="K109" i="57"/>
  <c r="G114" i="57"/>
  <c r="D99" i="57"/>
  <c r="D100" i="57"/>
  <c r="J97" i="57"/>
  <c r="K97" i="57"/>
  <c r="D98" i="57"/>
  <c r="K66" i="57"/>
  <c r="D89" i="57"/>
  <c r="K87" i="57"/>
  <c r="L87" i="57" s="1"/>
  <c r="J65" i="57"/>
  <c r="J86" i="57"/>
  <c r="K65" i="57"/>
  <c r="K86" i="57"/>
  <c r="D90" i="57"/>
  <c r="D88" i="57"/>
  <c r="L71" i="57"/>
  <c r="L68" i="57"/>
  <c r="AE46" i="216" s="1"/>
  <c r="D67" i="57"/>
  <c r="D69" i="57"/>
  <c r="L61" i="57"/>
  <c r="D59" i="57"/>
  <c r="D56" i="57"/>
  <c r="D57" i="57"/>
  <c r="L51" i="57"/>
  <c r="L58" i="57"/>
  <c r="AE51" i="216" s="1"/>
  <c r="L48" i="57"/>
  <c r="L39" i="57"/>
  <c r="D49" i="57"/>
  <c r="D47" i="57"/>
  <c r="F39" i="57"/>
  <c r="G39" i="57" s="1"/>
  <c r="C39" i="57"/>
  <c r="C41" i="57"/>
  <c r="C38" i="57"/>
  <c r="C37" i="57"/>
  <c r="C36" i="57"/>
  <c r="C35" i="57"/>
  <c r="D34" i="57"/>
  <c r="C34" i="57"/>
  <c r="AE56" i="216" l="1"/>
  <c r="J57" i="57"/>
  <c r="K57" i="57"/>
  <c r="D36" i="57"/>
  <c r="J34" i="57"/>
  <c r="K34" i="57"/>
  <c r="J47" i="57"/>
  <c r="K47" i="57"/>
  <c r="K49" i="57"/>
  <c r="J49" i="57"/>
  <c r="J56" i="57"/>
  <c r="K56" i="57"/>
  <c r="K59" i="57"/>
  <c r="J59" i="57"/>
  <c r="J46" i="57"/>
  <c r="K46" i="57"/>
  <c r="J102" i="57"/>
  <c r="L102" i="57" s="1"/>
  <c r="G102" i="57"/>
  <c r="J134" i="57"/>
  <c r="K110" i="57"/>
  <c r="L110" i="57" s="1"/>
  <c r="K145" i="57"/>
  <c r="J145" i="57"/>
  <c r="J144" i="57"/>
  <c r="K144" i="57"/>
  <c r="J136" i="57"/>
  <c r="K136" i="57"/>
  <c r="L143" i="57"/>
  <c r="L147" i="57"/>
  <c r="L133" i="57"/>
  <c r="J122" i="57"/>
  <c r="K122" i="57"/>
  <c r="J125" i="57"/>
  <c r="K125" i="57"/>
  <c r="L132" i="57"/>
  <c r="L109" i="57"/>
  <c r="L121" i="57"/>
  <c r="J111" i="57"/>
  <c r="L111" i="57" s="1"/>
  <c r="L113" i="57"/>
  <c r="L97" i="57"/>
  <c r="K100" i="57"/>
  <c r="J100" i="57"/>
  <c r="J99" i="57"/>
  <c r="G99" i="57"/>
  <c r="K99" i="57"/>
  <c r="K98" i="57"/>
  <c r="J98" i="57"/>
  <c r="L86" i="57"/>
  <c r="J90" i="57"/>
  <c r="K90" i="57"/>
  <c r="J69" i="57"/>
  <c r="K69" i="57"/>
  <c r="K67" i="57"/>
  <c r="J67" i="57"/>
  <c r="K89" i="57"/>
  <c r="J89" i="57"/>
  <c r="K88" i="57"/>
  <c r="J88" i="57"/>
  <c r="G90" i="57"/>
  <c r="G88" i="57"/>
  <c r="L65" i="57"/>
  <c r="L66" i="57"/>
  <c r="L55" i="57"/>
  <c r="L45" i="57"/>
  <c r="D38" i="57"/>
  <c r="L41" i="57"/>
  <c r="L35" i="57"/>
  <c r="L47" i="57" l="1"/>
  <c r="L46" i="57"/>
  <c r="K38" i="57"/>
  <c r="J38" i="57"/>
  <c r="J36" i="57"/>
  <c r="K36" i="57"/>
  <c r="L144" i="57"/>
  <c r="L145" i="57"/>
  <c r="L125" i="57"/>
  <c r="L122" i="57"/>
  <c r="L136" i="57"/>
  <c r="L134" i="57"/>
  <c r="L98" i="57"/>
  <c r="L100" i="57"/>
  <c r="L99" i="57"/>
  <c r="L56" i="57"/>
  <c r="L89" i="57"/>
  <c r="L90" i="57"/>
  <c r="L88" i="57"/>
  <c r="L59" i="57"/>
  <c r="L69" i="57"/>
  <c r="L67" i="57"/>
  <c r="L57" i="57"/>
  <c r="L49" i="57"/>
  <c r="L37" i="57"/>
  <c r="AE43" i="216" s="1"/>
  <c r="AE24" i="216" l="1"/>
  <c r="AE20" i="216"/>
  <c r="AE21" i="216"/>
  <c r="L36" i="57"/>
  <c r="AE13" i="216" s="1"/>
  <c r="L38" i="57"/>
  <c r="C27" i="57"/>
  <c r="L30" i="57"/>
  <c r="C30" i="57"/>
  <c r="F28" i="57"/>
  <c r="C28" i="57"/>
  <c r="C26" i="57"/>
  <c r="F25" i="57"/>
  <c r="C25" i="57"/>
  <c r="C24" i="57"/>
  <c r="D23" i="57"/>
  <c r="C23" i="57"/>
  <c r="J19" i="57"/>
  <c r="K19" i="57"/>
  <c r="D13" i="57"/>
  <c r="D14" i="57" s="1"/>
  <c r="K14" i="57" s="1"/>
  <c r="C19" i="57"/>
  <c r="AE17" i="216" l="1"/>
  <c r="AE12" i="216"/>
  <c r="D24" i="57"/>
  <c r="J24" i="57" s="1"/>
  <c r="D27" i="57"/>
  <c r="J23" i="57"/>
  <c r="K23" i="57"/>
  <c r="D28" i="57"/>
  <c r="D25" i="57"/>
  <c r="D26" i="57"/>
  <c r="L19" i="57"/>
  <c r="AE82" i="216" s="1"/>
  <c r="D16" i="57"/>
  <c r="J16" i="57" s="1"/>
  <c r="D17" i="57"/>
  <c r="J17" i="57" s="1"/>
  <c r="K13" i="57"/>
  <c r="J13" i="57"/>
  <c r="J14" i="57"/>
  <c r="L14" i="57" s="1"/>
  <c r="D15" i="57"/>
  <c r="K24" i="57" l="1"/>
  <c r="L24" i="57" s="1"/>
  <c r="AE14" i="216" s="1"/>
  <c r="L23" i="57"/>
  <c r="K28" i="57"/>
  <c r="J28" i="57"/>
  <c r="J26" i="57"/>
  <c r="K26" i="57"/>
  <c r="J25" i="57"/>
  <c r="K25" i="57"/>
  <c r="J27" i="57"/>
  <c r="K27" i="57"/>
  <c r="G28" i="57"/>
  <c r="G25" i="57"/>
  <c r="L13" i="57"/>
  <c r="K16" i="57"/>
  <c r="L16" i="57" s="1"/>
  <c r="K17" i="57"/>
  <c r="L17" i="57" s="1"/>
  <c r="J15" i="57"/>
  <c r="K15" i="57"/>
  <c r="L28" i="57" l="1"/>
  <c r="AE16" i="216" s="1"/>
  <c r="L27" i="57"/>
  <c r="AE23" i="216" s="1"/>
  <c r="L25" i="57"/>
  <c r="L26" i="57"/>
  <c r="AE37" i="216" s="1"/>
  <c r="L15" i="57"/>
  <c r="AE11" i="216" l="1"/>
  <c r="F17" i="57"/>
  <c r="G17" i="57" s="1"/>
  <c r="C17" i="57"/>
  <c r="F15" i="57"/>
  <c r="G15" i="57" s="1"/>
  <c r="C14" i="57"/>
  <c r="C15" i="57"/>
  <c r="C16" i="57"/>
  <c r="C13" i="57"/>
  <c r="L56" i="1" l="1"/>
  <c r="F75" i="57" l="1"/>
  <c r="G75" i="57" s="1"/>
  <c r="F855" i="57"/>
  <c r="G855" i="57" s="1"/>
  <c r="F847" i="57"/>
  <c r="G847" i="57" s="1"/>
  <c r="F748" i="57"/>
  <c r="G748" i="57" s="1"/>
  <c r="F550" i="57"/>
  <c r="G550" i="57" s="1"/>
  <c r="F675" i="57"/>
  <c r="G675" i="57" s="1"/>
  <c r="F621" i="57"/>
  <c r="G621" i="57" s="1"/>
  <c r="F485" i="57"/>
  <c r="G485" i="57" s="1"/>
  <c r="F639" i="57"/>
  <c r="G639" i="57" s="1"/>
  <c r="F584" i="57"/>
  <c r="G584" i="57" s="1"/>
  <c r="F712" i="57"/>
  <c r="G712" i="57" s="1"/>
  <c r="F566" i="57"/>
  <c r="G566" i="57" s="1"/>
  <c r="F469" i="57"/>
  <c r="G469" i="57" s="1"/>
  <c r="F518" i="57"/>
  <c r="G518" i="57" s="1"/>
  <c r="F534" i="57"/>
  <c r="G534" i="57" s="1"/>
  <c r="F502" i="57"/>
  <c r="G502" i="57" s="1"/>
  <c r="F766" i="57"/>
  <c r="G766" i="57" s="1"/>
  <c r="F657" i="57"/>
  <c r="G657" i="57" s="1"/>
  <c r="F603" i="57"/>
  <c r="G603" i="57" s="1"/>
  <c r="F730" i="57"/>
  <c r="G730" i="57" s="1"/>
  <c r="F693" i="57"/>
  <c r="G693" i="57" s="1"/>
  <c r="F451" i="57"/>
  <c r="G451" i="57" s="1"/>
  <c r="F397" i="57"/>
  <c r="G397" i="57" s="1"/>
  <c r="F415" i="57"/>
  <c r="G415" i="57" s="1"/>
  <c r="F433" i="57"/>
  <c r="G433" i="57" s="1"/>
  <c r="F378" i="57"/>
  <c r="G378" i="57" s="1"/>
  <c r="F360" i="57"/>
  <c r="G360" i="57" s="1"/>
  <c r="F269" i="57"/>
  <c r="G269" i="57" s="1"/>
  <c r="F288" i="57"/>
  <c r="G288" i="57" s="1"/>
  <c r="F324" i="57"/>
  <c r="G324" i="57" s="1"/>
  <c r="F306" i="57"/>
  <c r="G306" i="57" s="1"/>
  <c r="F342" i="57"/>
  <c r="G342" i="57" s="1"/>
  <c r="F203" i="57"/>
  <c r="G203" i="57" s="1"/>
  <c r="F187" i="57"/>
  <c r="G187" i="57" s="1"/>
  <c r="F251" i="57"/>
  <c r="G251" i="57" s="1"/>
  <c r="F219" i="57"/>
  <c r="G219" i="57" s="1"/>
  <c r="F170" i="57"/>
  <c r="G170" i="57" s="1"/>
  <c r="F235" i="57"/>
  <c r="G235" i="57" s="1"/>
  <c r="F154" i="57"/>
  <c r="G154" i="57" s="1"/>
  <c r="F65" i="57"/>
  <c r="G65" i="57" s="1"/>
  <c r="F45" i="57"/>
  <c r="G45" i="57" s="1"/>
  <c r="F121" i="57"/>
  <c r="G121" i="57" s="1"/>
  <c r="F143" i="57"/>
  <c r="G143" i="57" s="1"/>
  <c r="F109" i="57"/>
  <c r="G109" i="57" s="1"/>
  <c r="F86" i="57"/>
  <c r="G86" i="57" s="1"/>
  <c r="F55" i="57"/>
  <c r="G55" i="57" s="1"/>
  <c r="F97" i="57"/>
  <c r="G97" i="57" s="1"/>
  <c r="F132" i="57"/>
  <c r="G132" i="57" s="1"/>
  <c r="F34" i="57"/>
  <c r="G34" i="57" s="1"/>
  <c r="F23" i="57"/>
  <c r="G23" i="57" s="1"/>
  <c r="F13" i="57"/>
  <c r="G13" i="57" s="1"/>
  <c r="I142" i="1"/>
  <c r="I141" i="1"/>
  <c r="L167" i="1"/>
  <c r="L166" i="1"/>
  <c r="L165" i="1"/>
  <c r="L164" i="1"/>
  <c r="L163" i="1"/>
  <c r="L162" i="1"/>
  <c r="L161" i="1"/>
  <c r="F937" i="57" s="1"/>
  <c r="G937" i="57" s="1"/>
  <c r="L160" i="1"/>
  <c r="L159" i="1"/>
  <c r="L158" i="1"/>
  <c r="F925" i="57" s="1"/>
  <c r="G925" i="57" s="1"/>
  <c r="L156" i="1"/>
  <c r="L155" i="1"/>
  <c r="L154" i="1"/>
  <c r="L153" i="1"/>
  <c r="F82" i="57" s="1"/>
  <c r="G82" i="57" s="1"/>
  <c r="L152" i="1"/>
  <c r="F936" i="57" s="1"/>
  <c r="G936" i="57" s="1"/>
  <c r="L151" i="1"/>
  <c r="L150" i="1"/>
  <c r="L149" i="1"/>
  <c r="L148" i="1"/>
  <c r="L147" i="1"/>
  <c r="L146" i="1"/>
  <c r="L144" i="1"/>
  <c r="L143" i="1"/>
  <c r="L142" i="1"/>
  <c r="L141" i="1"/>
  <c r="L140" i="1"/>
  <c r="F863" i="57" s="1"/>
  <c r="G863" i="57" s="1"/>
  <c r="L139" i="1"/>
  <c r="L138" i="1"/>
  <c r="K24" i="2" s="1"/>
  <c r="L24" i="2" s="1"/>
  <c r="L123" i="1"/>
  <c r="L122" i="1"/>
  <c r="L121" i="1"/>
  <c r="L120" i="1"/>
  <c r="F1069" i="57" s="1"/>
  <c r="G1069" i="57" s="1"/>
  <c r="L119" i="1"/>
  <c r="L118" i="1"/>
  <c r="L117" i="1"/>
  <c r="L116" i="1"/>
  <c r="L102" i="1"/>
  <c r="L101" i="1"/>
  <c r="L100" i="1"/>
  <c r="K19" i="2" s="1"/>
  <c r="L19" i="2" s="1"/>
  <c r="L99" i="1"/>
  <c r="F1063" i="57" s="1"/>
  <c r="G1063" i="57" s="1"/>
  <c r="L98" i="1"/>
  <c r="F1070" i="57" s="1"/>
  <c r="G1070" i="57" s="1"/>
  <c r="L97" i="1"/>
  <c r="L96" i="1"/>
  <c r="F1068" i="57" s="1"/>
  <c r="G1068" i="57" s="1"/>
  <c r="L95" i="1"/>
  <c r="F1061" i="57" s="1"/>
  <c r="G1061" i="57" s="1"/>
  <c r="L94" i="1"/>
  <c r="L93" i="1"/>
  <c r="F929" i="57" s="1"/>
  <c r="G929" i="57" s="1"/>
  <c r="L92" i="1"/>
  <c r="L91" i="1"/>
  <c r="L90" i="1"/>
  <c r="L89" i="1"/>
  <c r="L88" i="1"/>
  <c r="L87" i="1"/>
  <c r="L86" i="1"/>
  <c r="K80" i="2" s="1"/>
  <c r="L80" i="2" s="1"/>
  <c r="L85" i="1"/>
  <c r="K20" i="2" s="1"/>
  <c r="L20" i="2" s="1"/>
  <c r="L84" i="1"/>
  <c r="L83" i="1"/>
  <c r="L82" i="1"/>
  <c r="L81" i="1"/>
  <c r="L80" i="1"/>
  <c r="L79" i="1"/>
  <c r="F934" i="57" s="1"/>
  <c r="G934" i="57" s="1"/>
  <c r="L78" i="1"/>
  <c r="L77" i="1"/>
  <c r="L76" i="1"/>
  <c r="L75" i="1"/>
  <c r="L74" i="1"/>
  <c r="L73" i="1"/>
  <c r="L72" i="1"/>
  <c r="L71" i="1"/>
  <c r="F932" i="57" s="1"/>
  <c r="G932" i="57" s="1"/>
  <c r="L70" i="1"/>
  <c r="F931" i="57" s="1"/>
  <c r="G931" i="57" s="1"/>
  <c r="L69" i="1"/>
  <c r="K13" i="2" s="1"/>
  <c r="L13" i="2" s="1"/>
  <c r="L68" i="1"/>
  <c r="F930" i="57" s="1"/>
  <c r="G930" i="57" s="1"/>
  <c r="L67" i="1"/>
  <c r="L66" i="1"/>
  <c r="L65" i="1"/>
  <c r="L64" i="1"/>
  <c r="L63" i="1"/>
  <c r="L62" i="1"/>
  <c r="K81" i="2" s="1"/>
  <c r="L81" i="2" s="1"/>
  <c r="L61" i="1"/>
  <c r="L60" i="1"/>
  <c r="L59" i="1"/>
  <c r="L58" i="1"/>
  <c r="L57" i="1"/>
  <c r="L50" i="1"/>
  <c r="F79" i="57" s="1"/>
  <c r="G79" i="57" s="1"/>
  <c r="L49" i="1"/>
  <c r="K22" i="2" s="1"/>
  <c r="L22" i="2" s="1"/>
  <c r="L48" i="1"/>
  <c r="K21" i="2" s="1"/>
  <c r="L21" i="2" s="1"/>
  <c r="L47" i="1"/>
  <c r="L46" i="1"/>
  <c r="L45" i="1"/>
  <c r="L44" i="1"/>
  <c r="L43" i="1"/>
  <c r="L42" i="1"/>
  <c r="L41" i="1"/>
  <c r="L40" i="1"/>
  <c r="L39" i="1"/>
  <c r="L38" i="1"/>
  <c r="L37" i="1"/>
  <c r="L36" i="1"/>
  <c r="L35" i="1"/>
  <c r="L34" i="1"/>
  <c r="L33" i="1"/>
  <c r="L32" i="1"/>
  <c r="L31" i="1"/>
  <c r="L30" i="1"/>
  <c r="L29" i="1"/>
  <c r="L28" i="1"/>
  <c r="L27" i="1"/>
  <c r="L26" i="1"/>
  <c r="L25" i="1"/>
  <c r="L24" i="1"/>
  <c r="L23" i="1"/>
  <c r="L22" i="1"/>
  <c r="L21" i="1"/>
  <c r="L20" i="1"/>
  <c r="L19" i="1"/>
  <c r="L18" i="1"/>
  <c r="L17" i="1"/>
  <c r="L16" i="1"/>
  <c r="L15" i="1"/>
  <c r="L14" i="1"/>
  <c r="L13" i="1"/>
  <c r="L12" i="1"/>
  <c r="L10" i="1"/>
  <c r="L9" i="1"/>
  <c r="L8" i="1"/>
  <c r="F76" i="57" s="1"/>
  <c r="G76" i="57" s="1"/>
  <c r="L7" i="1"/>
  <c r="J344" i="215"/>
  <c r="M344" i="215" s="1"/>
  <c r="O344" i="215" s="1"/>
  <c r="J343" i="215"/>
  <c r="M343" i="215" s="1"/>
  <c r="O343" i="215" s="1"/>
  <c r="J342" i="215"/>
  <c r="M342" i="215" s="1"/>
  <c r="O342" i="215" s="1"/>
  <c r="J341" i="215"/>
  <c r="M341" i="215" s="1"/>
  <c r="O341" i="215" s="1"/>
  <c r="O340" i="215"/>
  <c r="J340" i="215"/>
  <c r="O339" i="215"/>
  <c r="J339" i="215"/>
  <c r="J338" i="215"/>
  <c r="M338" i="215" s="1"/>
  <c r="O338" i="215" s="1"/>
  <c r="M337" i="215"/>
  <c r="O337" i="215" s="1"/>
  <c r="J337" i="215"/>
  <c r="M336" i="215"/>
  <c r="O336" i="215" s="1"/>
  <c r="J336" i="215"/>
  <c r="M335" i="215"/>
  <c r="O335" i="215" s="1"/>
  <c r="J335" i="215"/>
  <c r="M334" i="215"/>
  <c r="O334" i="215" s="1"/>
  <c r="J334" i="215"/>
  <c r="M333" i="215"/>
  <c r="O333" i="215" s="1"/>
  <c r="J333" i="215"/>
  <c r="O332" i="215"/>
  <c r="J332" i="215"/>
  <c r="M331" i="215"/>
  <c r="O331" i="215" s="1"/>
  <c r="J331" i="215"/>
  <c r="M330" i="215"/>
  <c r="O330" i="215" s="1"/>
  <c r="J330" i="215"/>
  <c r="M329" i="215"/>
  <c r="O329" i="215" s="1"/>
  <c r="J329" i="215"/>
  <c r="M328" i="215"/>
  <c r="O328" i="215" s="1"/>
  <c r="J328" i="215"/>
  <c r="O327" i="215"/>
  <c r="J327" i="215"/>
  <c r="M326" i="215"/>
  <c r="O326" i="215" s="1"/>
  <c r="M325" i="215"/>
  <c r="O325" i="215" s="1"/>
  <c r="M324" i="215"/>
  <c r="O324" i="215" s="1"/>
  <c r="M323" i="215"/>
  <c r="O323" i="215" s="1"/>
  <c r="M322" i="215"/>
  <c r="O322" i="215" s="1"/>
  <c r="M321" i="215"/>
  <c r="O321" i="215" s="1"/>
  <c r="J321" i="215"/>
  <c r="M320" i="215"/>
  <c r="O320" i="215" s="1"/>
  <c r="M319" i="215"/>
  <c r="O319" i="215" s="1"/>
  <c r="M318" i="215"/>
  <c r="O318" i="215" s="1"/>
  <c r="J318" i="215"/>
  <c r="M317" i="215"/>
  <c r="O317" i="215" s="1"/>
  <c r="J317" i="215"/>
  <c r="M316" i="215"/>
  <c r="O316" i="215" s="1"/>
  <c r="J316" i="215"/>
  <c r="M315" i="215"/>
  <c r="O315" i="215" s="1"/>
  <c r="J315" i="215"/>
  <c r="M314" i="215"/>
  <c r="O314" i="215" s="1"/>
  <c r="J314" i="215"/>
  <c r="M313" i="215"/>
  <c r="O313" i="215" s="1"/>
  <c r="J313" i="215"/>
  <c r="M312" i="215"/>
  <c r="O312" i="215" s="1"/>
  <c r="J312" i="215"/>
  <c r="M311" i="215"/>
  <c r="O311" i="215" s="1"/>
  <c r="M310" i="215"/>
  <c r="O310" i="215" s="1"/>
  <c r="M309" i="215"/>
  <c r="O309" i="215" s="1"/>
  <c r="M308" i="215"/>
  <c r="O308" i="215" s="1"/>
  <c r="M307" i="215"/>
  <c r="O307" i="215" s="1"/>
  <c r="M306" i="215"/>
  <c r="O306" i="215" s="1"/>
  <c r="M305" i="215"/>
  <c r="O305" i="215" s="1"/>
  <c r="M304" i="215"/>
  <c r="O304" i="215" s="1"/>
  <c r="M303" i="215"/>
  <c r="O303" i="215" s="1"/>
  <c r="M300" i="215"/>
  <c r="O300" i="215" s="1"/>
  <c r="J300" i="215"/>
  <c r="M299" i="215"/>
  <c r="O299" i="215" s="1"/>
  <c r="J299" i="215"/>
  <c r="M298" i="215"/>
  <c r="O298" i="215" s="1"/>
  <c r="J298" i="215"/>
  <c r="M297" i="215"/>
  <c r="O297" i="215" s="1"/>
  <c r="J297" i="215"/>
  <c r="M296" i="215"/>
  <c r="O296" i="215" s="1"/>
  <c r="J296" i="215"/>
  <c r="M295" i="215"/>
  <c r="O295" i="215" s="1"/>
  <c r="J295" i="215"/>
  <c r="M294" i="215"/>
  <c r="O294" i="215" s="1"/>
  <c r="J294" i="215"/>
  <c r="M293" i="215"/>
  <c r="O293" i="215" s="1"/>
  <c r="J293" i="215"/>
  <c r="M292" i="215"/>
  <c r="O292" i="215" s="1"/>
  <c r="J292" i="215"/>
  <c r="M291" i="215"/>
  <c r="O291" i="215" s="1"/>
  <c r="J291" i="215"/>
  <c r="M290" i="215"/>
  <c r="O290" i="215" s="1"/>
  <c r="J290" i="215"/>
  <c r="M289" i="215"/>
  <c r="O289" i="215" s="1"/>
  <c r="J289" i="215"/>
  <c r="M288" i="215"/>
  <c r="O288" i="215" s="1"/>
  <c r="I288" i="215"/>
  <c r="J288" i="215" s="1"/>
  <c r="O287" i="215"/>
  <c r="J287" i="215"/>
  <c r="M286" i="215"/>
  <c r="O286" i="215" s="1"/>
  <c r="J286" i="215"/>
  <c r="M285" i="215"/>
  <c r="O285" i="215" s="1"/>
  <c r="J285" i="215"/>
  <c r="M284" i="215"/>
  <c r="O284" i="215" s="1"/>
  <c r="J284" i="215"/>
  <c r="M283" i="215"/>
  <c r="O283" i="215" s="1"/>
  <c r="J283" i="215"/>
  <c r="M282" i="215"/>
  <c r="O282" i="215" s="1"/>
  <c r="J282" i="215"/>
  <c r="M281" i="215"/>
  <c r="O281" i="215" s="1"/>
  <c r="J281" i="215"/>
  <c r="M280" i="215"/>
  <c r="O280" i="215" s="1"/>
  <c r="J280" i="215"/>
  <c r="M279" i="215"/>
  <c r="O279" i="215" s="1"/>
  <c r="J279" i="215"/>
  <c r="M278" i="215"/>
  <c r="O278" i="215" s="1"/>
  <c r="J278" i="215"/>
  <c r="M277" i="215"/>
  <c r="O277" i="215" s="1"/>
  <c r="J277" i="215"/>
  <c r="M276" i="215"/>
  <c r="O276" i="215" s="1"/>
  <c r="J276" i="215"/>
  <c r="O275" i="215"/>
  <c r="J275" i="215"/>
  <c r="M274" i="215"/>
  <c r="O274" i="215" s="1"/>
  <c r="J274" i="215"/>
  <c r="M273" i="215"/>
  <c r="O273" i="215" s="1"/>
  <c r="J273" i="215"/>
  <c r="M272" i="215"/>
  <c r="O272" i="215" s="1"/>
  <c r="J272" i="215"/>
  <c r="M271" i="215"/>
  <c r="O271" i="215" s="1"/>
  <c r="J271" i="215"/>
  <c r="M270" i="215"/>
  <c r="O270" i="215" s="1"/>
  <c r="J270" i="215"/>
  <c r="M269" i="215"/>
  <c r="O269" i="215" s="1"/>
  <c r="J269" i="215"/>
  <c r="M268" i="215"/>
  <c r="O268" i="215" s="1"/>
  <c r="J268" i="215"/>
  <c r="M267" i="215"/>
  <c r="O267" i="215" s="1"/>
  <c r="J267" i="215"/>
  <c r="O266" i="215"/>
  <c r="J266" i="215"/>
  <c r="O265" i="215"/>
  <c r="J265" i="215"/>
  <c r="M264" i="215"/>
  <c r="O264" i="215" s="1"/>
  <c r="J264" i="215"/>
  <c r="O263" i="215"/>
  <c r="J263" i="215"/>
  <c r="O262" i="215"/>
  <c r="J262" i="215"/>
  <c r="M261" i="215"/>
  <c r="O261" i="215" s="1"/>
  <c r="J261" i="215"/>
  <c r="M260" i="215"/>
  <c r="O260" i="215" s="1"/>
  <c r="J260" i="215"/>
  <c r="M259" i="215"/>
  <c r="O259" i="215" s="1"/>
  <c r="J259" i="215"/>
  <c r="M258" i="215"/>
  <c r="O258" i="215" s="1"/>
  <c r="J258" i="215"/>
  <c r="M257" i="215"/>
  <c r="O257" i="215" s="1"/>
  <c r="J257" i="215"/>
  <c r="M256" i="215"/>
  <c r="O256" i="215" s="1"/>
  <c r="J256" i="215"/>
  <c r="M255" i="215"/>
  <c r="O255" i="215" s="1"/>
  <c r="J255" i="215"/>
  <c r="I254" i="215"/>
  <c r="J254" i="215" s="1"/>
  <c r="M253" i="215"/>
  <c r="O253" i="215" s="1"/>
  <c r="J253" i="215"/>
  <c r="M252" i="215"/>
  <c r="O252" i="215" s="1"/>
  <c r="J252" i="215"/>
  <c r="M251" i="215"/>
  <c r="O251" i="215" s="1"/>
  <c r="J251" i="215"/>
  <c r="M250" i="215"/>
  <c r="O250" i="215" s="1"/>
  <c r="J250" i="215"/>
  <c r="M249" i="215"/>
  <c r="O249" i="215" s="1"/>
  <c r="J249" i="215"/>
  <c r="M248" i="215"/>
  <c r="O248" i="215" s="1"/>
  <c r="J248" i="215"/>
  <c r="M247" i="215"/>
  <c r="O247" i="215" s="1"/>
  <c r="J247" i="215"/>
  <c r="M246" i="215"/>
  <c r="O246" i="215" s="1"/>
  <c r="J246" i="215"/>
  <c r="M245" i="215"/>
  <c r="O245" i="215" s="1"/>
  <c r="J245" i="215"/>
  <c r="M244" i="215"/>
  <c r="O244" i="215" s="1"/>
  <c r="J244" i="215"/>
  <c r="M243" i="215"/>
  <c r="O243" i="215" s="1"/>
  <c r="J243" i="215"/>
  <c r="M242" i="215"/>
  <c r="O242" i="215" s="1"/>
  <c r="J242" i="215"/>
  <c r="M241" i="215"/>
  <c r="O241" i="215" s="1"/>
  <c r="J241" i="215"/>
  <c r="M240" i="215"/>
  <c r="O240" i="215" s="1"/>
  <c r="J240" i="215"/>
  <c r="M239" i="215"/>
  <c r="O239" i="215" s="1"/>
  <c r="J239" i="215"/>
  <c r="M238" i="215"/>
  <c r="O238" i="215" s="1"/>
  <c r="J238" i="215"/>
  <c r="M237" i="215"/>
  <c r="O237" i="215" s="1"/>
  <c r="J237" i="215"/>
  <c r="M236" i="215"/>
  <c r="O236" i="215" s="1"/>
  <c r="J236" i="215"/>
  <c r="M235" i="215"/>
  <c r="O235" i="215" s="1"/>
  <c r="J235" i="215"/>
  <c r="M234" i="215"/>
  <c r="O234" i="215" s="1"/>
  <c r="J234" i="215"/>
  <c r="M233" i="215"/>
  <c r="O233" i="215" s="1"/>
  <c r="J233" i="215"/>
  <c r="M232" i="215"/>
  <c r="O232" i="215" s="1"/>
  <c r="J232" i="215"/>
  <c r="M231" i="215"/>
  <c r="O231" i="215" s="1"/>
  <c r="J231" i="215"/>
  <c r="M230" i="215"/>
  <c r="O230" i="215" s="1"/>
  <c r="J230" i="215"/>
  <c r="M229" i="215"/>
  <c r="O229" i="215" s="1"/>
  <c r="J229" i="215"/>
  <c r="M228" i="215"/>
  <c r="O228" i="215" s="1"/>
  <c r="J228" i="215"/>
  <c r="M227" i="215"/>
  <c r="O227" i="215" s="1"/>
  <c r="J227" i="215"/>
  <c r="M226" i="215"/>
  <c r="O226" i="215" s="1"/>
  <c r="J226" i="215"/>
  <c r="M225" i="215"/>
  <c r="O225" i="215" s="1"/>
  <c r="J225" i="215"/>
  <c r="M224" i="215"/>
  <c r="O224" i="215" s="1"/>
  <c r="J224" i="215"/>
  <c r="O223" i="215"/>
  <c r="J223" i="215"/>
  <c r="M222" i="215"/>
  <c r="O222" i="215" s="1"/>
  <c r="J222" i="215"/>
  <c r="M221" i="215"/>
  <c r="O221" i="215" s="1"/>
  <c r="J221" i="215"/>
  <c r="O220" i="215"/>
  <c r="J220" i="215"/>
  <c r="M219" i="215"/>
  <c r="O219" i="215" s="1"/>
  <c r="J219" i="215"/>
  <c r="M218" i="215"/>
  <c r="O218" i="215" s="1"/>
  <c r="J218" i="215"/>
  <c r="M217" i="215"/>
  <c r="O217" i="215" s="1"/>
  <c r="J217" i="215"/>
  <c r="O216" i="215"/>
  <c r="J216" i="215"/>
  <c r="M215" i="215"/>
  <c r="O215" i="215" s="1"/>
  <c r="J215" i="215"/>
  <c r="M214" i="215"/>
  <c r="O214" i="215" s="1"/>
  <c r="J214" i="215"/>
  <c r="M213" i="215"/>
  <c r="O213" i="215" s="1"/>
  <c r="J213" i="215"/>
  <c r="M212" i="215"/>
  <c r="O212" i="215" s="1"/>
  <c r="J212" i="215"/>
  <c r="M211" i="215"/>
  <c r="O211" i="215" s="1"/>
  <c r="J211" i="215"/>
  <c r="M210" i="215"/>
  <c r="O210" i="215" s="1"/>
  <c r="J210" i="215"/>
  <c r="M209" i="215"/>
  <c r="O209" i="215" s="1"/>
  <c r="J209" i="215"/>
  <c r="M208" i="215"/>
  <c r="O208" i="215" s="1"/>
  <c r="J208" i="215"/>
  <c r="M207" i="215"/>
  <c r="O207" i="215" s="1"/>
  <c r="J207" i="215"/>
  <c r="M206" i="215"/>
  <c r="O206" i="215" s="1"/>
  <c r="J206" i="215"/>
  <c r="M205" i="215"/>
  <c r="O205" i="215" s="1"/>
  <c r="J205" i="215"/>
  <c r="M204" i="215"/>
  <c r="O204" i="215" s="1"/>
  <c r="J204" i="215"/>
  <c r="M203" i="215"/>
  <c r="O203" i="215" s="1"/>
  <c r="J203" i="215"/>
  <c r="O202" i="215"/>
  <c r="J202" i="215"/>
  <c r="M201" i="215"/>
  <c r="O201" i="215" s="1"/>
  <c r="J201" i="215"/>
  <c r="M200" i="215"/>
  <c r="O200" i="215" s="1"/>
  <c r="J200" i="215"/>
  <c r="M199" i="215"/>
  <c r="O199" i="215" s="1"/>
  <c r="J199" i="215"/>
  <c r="M198" i="215"/>
  <c r="O198" i="215" s="1"/>
  <c r="J198" i="215"/>
  <c r="M197" i="215"/>
  <c r="O197" i="215" s="1"/>
  <c r="J197" i="215"/>
  <c r="M196" i="215"/>
  <c r="O196" i="215" s="1"/>
  <c r="J196" i="215"/>
  <c r="M195" i="215"/>
  <c r="O195" i="215" s="1"/>
  <c r="J195" i="215"/>
  <c r="O194" i="215"/>
  <c r="J194" i="215"/>
  <c r="O193" i="215"/>
  <c r="J193" i="215"/>
  <c r="O192" i="215"/>
  <c r="J192" i="215"/>
  <c r="M191" i="215"/>
  <c r="O191" i="215" s="1"/>
  <c r="J191" i="215"/>
  <c r="M190" i="215"/>
  <c r="O190" i="215" s="1"/>
  <c r="J190" i="215"/>
  <c r="M189" i="215"/>
  <c r="O189" i="215" s="1"/>
  <c r="J189" i="215"/>
  <c r="M188" i="215"/>
  <c r="O188" i="215" s="1"/>
  <c r="J188" i="215"/>
  <c r="M187" i="215"/>
  <c r="O187" i="215" s="1"/>
  <c r="J187" i="215"/>
  <c r="M186" i="215"/>
  <c r="O186" i="215" s="1"/>
  <c r="J186" i="215"/>
  <c r="M185" i="215"/>
  <c r="O185" i="215" s="1"/>
  <c r="J185" i="215"/>
  <c r="M184" i="215"/>
  <c r="O184" i="215" s="1"/>
  <c r="J184" i="215"/>
  <c r="M183" i="215"/>
  <c r="O183" i="215" s="1"/>
  <c r="J183" i="215"/>
  <c r="M182" i="215"/>
  <c r="O182" i="215" s="1"/>
  <c r="J182" i="215"/>
  <c r="M181" i="215"/>
  <c r="O181" i="215" s="1"/>
  <c r="J181" i="215"/>
  <c r="M180" i="215"/>
  <c r="O180" i="215" s="1"/>
  <c r="J180" i="215"/>
  <c r="M179" i="215"/>
  <c r="O179" i="215" s="1"/>
  <c r="J179" i="215"/>
  <c r="O178" i="215"/>
  <c r="J178" i="215"/>
  <c r="M177" i="215"/>
  <c r="O177" i="215" s="1"/>
  <c r="J177" i="215"/>
  <c r="M176" i="215"/>
  <c r="O176" i="215" s="1"/>
  <c r="J176" i="215"/>
  <c r="M175" i="215"/>
  <c r="O175" i="215" s="1"/>
  <c r="J175" i="215"/>
  <c r="M174" i="215"/>
  <c r="O174" i="215" s="1"/>
  <c r="J174" i="215"/>
  <c r="M173" i="215"/>
  <c r="O173" i="215" s="1"/>
  <c r="J173" i="215"/>
  <c r="M172" i="215"/>
  <c r="O172" i="215" s="1"/>
  <c r="J172" i="215"/>
  <c r="M171" i="215"/>
  <c r="O171" i="215" s="1"/>
  <c r="J171" i="215"/>
  <c r="M170" i="215"/>
  <c r="O170" i="215" s="1"/>
  <c r="J170" i="215"/>
  <c r="M169" i="215"/>
  <c r="O169" i="215" s="1"/>
  <c r="J169" i="215"/>
  <c r="M168" i="215"/>
  <c r="O168" i="215" s="1"/>
  <c r="J168" i="215"/>
  <c r="M167" i="215"/>
  <c r="O167" i="215" s="1"/>
  <c r="J167" i="215"/>
  <c r="M166" i="215"/>
  <c r="O166" i="215" s="1"/>
  <c r="J166" i="215"/>
  <c r="M165" i="215"/>
  <c r="O165" i="215" s="1"/>
  <c r="J165" i="215"/>
  <c r="M164" i="215"/>
  <c r="O164" i="215" s="1"/>
  <c r="J164" i="215"/>
  <c r="M163" i="215"/>
  <c r="O163" i="215" s="1"/>
  <c r="J163" i="215"/>
  <c r="M162" i="215"/>
  <c r="O162" i="215" s="1"/>
  <c r="J162" i="215"/>
  <c r="M161" i="215"/>
  <c r="O161" i="215" s="1"/>
  <c r="J161" i="215"/>
  <c r="M160" i="215"/>
  <c r="O160" i="215" s="1"/>
  <c r="J160" i="215"/>
  <c r="M159" i="215"/>
  <c r="O159" i="215" s="1"/>
  <c r="J159" i="215"/>
  <c r="M158" i="215"/>
  <c r="O158" i="215" s="1"/>
  <c r="J158" i="215"/>
  <c r="M157" i="215"/>
  <c r="O157" i="215" s="1"/>
  <c r="J157" i="215"/>
  <c r="M156" i="215"/>
  <c r="O156" i="215" s="1"/>
  <c r="J156" i="215"/>
  <c r="M155" i="215"/>
  <c r="O155" i="215" s="1"/>
  <c r="J155" i="215"/>
  <c r="M154" i="215"/>
  <c r="O154" i="215" s="1"/>
  <c r="J154" i="215"/>
  <c r="M153" i="215"/>
  <c r="O153" i="215" s="1"/>
  <c r="J153" i="215"/>
  <c r="M152" i="215"/>
  <c r="O152" i="215" s="1"/>
  <c r="J152" i="215"/>
  <c r="M151" i="215"/>
  <c r="O151" i="215" s="1"/>
  <c r="J151" i="215"/>
  <c r="M150" i="215"/>
  <c r="O150" i="215" s="1"/>
  <c r="J150" i="215"/>
  <c r="M149" i="215"/>
  <c r="O149" i="215" s="1"/>
  <c r="J149" i="215"/>
  <c r="M148" i="215"/>
  <c r="O148" i="215" s="1"/>
  <c r="J148" i="215"/>
  <c r="M147" i="215"/>
  <c r="O147" i="215" s="1"/>
  <c r="J147" i="215"/>
  <c r="M146" i="215"/>
  <c r="O146" i="215" s="1"/>
  <c r="J146" i="215"/>
  <c r="M145" i="215"/>
  <c r="O145" i="215" s="1"/>
  <c r="J145" i="215"/>
  <c r="M144" i="215"/>
  <c r="O144" i="215" s="1"/>
  <c r="J144" i="215"/>
  <c r="M143" i="215"/>
  <c r="O143" i="215" s="1"/>
  <c r="J143" i="215"/>
  <c r="M142" i="215"/>
  <c r="O142" i="215" s="1"/>
  <c r="J142" i="215"/>
  <c r="M141" i="215"/>
  <c r="O141" i="215" s="1"/>
  <c r="J141" i="215"/>
  <c r="M140" i="215"/>
  <c r="O140" i="215" s="1"/>
  <c r="J140" i="215"/>
  <c r="M139" i="215"/>
  <c r="O139" i="215" s="1"/>
  <c r="J139" i="215"/>
  <c r="M138" i="215"/>
  <c r="O138" i="215" s="1"/>
  <c r="J138" i="215"/>
  <c r="M137" i="215"/>
  <c r="O137" i="215" s="1"/>
  <c r="J137" i="215"/>
  <c r="M136" i="215"/>
  <c r="O136" i="215" s="1"/>
  <c r="J136" i="215"/>
  <c r="M135" i="215"/>
  <c r="O135" i="215" s="1"/>
  <c r="J135" i="215"/>
  <c r="O134" i="215"/>
  <c r="J134" i="215"/>
  <c r="O133" i="215"/>
  <c r="J133" i="215"/>
  <c r="M132" i="215"/>
  <c r="O132" i="215" s="1"/>
  <c r="J132" i="215"/>
  <c r="M131" i="215"/>
  <c r="O131" i="215" s="1"/>
  <c r="J131" i="215"/>
  <c r="M130" i="215"/>
  <c r="O130" i="215" s="1"/>
  <c r="J130" i="215"/>
  <c r="O129" i="215"/>
  <c r="J129" i="215"/>
  <c r="M128" i="215"/>
  <c r="O128" i="215" s="1"/>
  <c r="M127" i="215"/>
  <c r="O127" i="215" s="1"/>
  <c r="M126" i="215"/>
  <c r="J126" i="215"/>
  <c r="O125" i="215"/>
  <c r="J125" i="215"/>
  <c r="F125" i="215"/>
  <c r="M123" i="215"/>
  <c r="O123" i="215" s="1"/>
  <c r="P123" i="215" s="1"/>
  <c r="M122" i="215"/>
  <c r="O122" i="215" s="1"/>
  <c r="M121" i="215"/>
  <c r="O121" i="215" s="1"/>
  <c r="M120" i="215"/>
  <c r="O120" i="215" s="1"/>
  <c r="M119" i="215"/>
  <c r="O119" i="215" s="1"/>
  <c r="M118" i="215"/>
  <c r="O118" i="215" s="1"/>
  <c r="J118" i="215"/>
  <c r="M117" i="215"/>
  <c r="O117" i="215" s="1"/>
  <c r="O116" i="215"/>
  <c r="J116" i="215"/>
  <c r="M115" i="215"/>
  <c r="O115" i="215" s="1"/>
  <c r="J115" i="215"/>
  <c r="M114" i="215"/>
  <c r="O114" i="215" s="1"/>
  <c r="M113" i="215"/>
  <c r="O113" i="215" s="1"/>
  <c r="M112" i="215"/>
  <c r="O112" i="215" s="1"/>
  <c r="M111" i="215"/>
  <c r="O111" i="215" s="1"/>
  <c r="M110" i="215"/>
  <c r="O110" i="215" s="1"/>
  <c r="M109" i="215"/>
  <c r="O109" i="215" s="1"/>
  <c r="M108" i="215"/>
  <c r="O108" i="215" s="1"/>
  <c r="M107" i="215"/>
  <c r="O107" i="215" s="1"/>
  <c r="M106" i="215"/>
  <c r="O106" i="215" s="1"/>
  <c r="M105" i="215"/>
  <c r="O105" i="215" s="1"/>
  <c r="M104" i="215"/>
  <c r="O104" i="215" s="1"/>
  <c r="M103" i="215"/>
  <c r="O103" i="215" s="1"/>
  <c r="M102" i="215"/>
  <c r="O102" i="215" s="1"/>
  <c r="M101" i="215"/>
  <c r="O101" i="215" s="1"/>
  <c r="M100" i="215"/>
  <c r="O100" i="215" s="1"/>
  <c r="M99" i="215"/>
  <c r="O99" i="215" s="1"/>
  <c r="J99" i="215"/>
  <c r="M98" i="215"/>
  <c r="O98" i="215" s="1"/>
  <c r="J98" i="215"/>
  <c r="M97" i="215"/>
  <c r="O97" i="215" s="1"/>
  <c r="J97" i="215"/>
  <c r="M96" i="215"/>
  <c r="O96" i="215" s="1"/>
  <c r="M95" i="215"/>
  <c r="O95" i="215" s="1"/>
  <c r="M94" i="215"/>
  <c r="O94" i="215" s="1"/>
  <c r="M93" i="215"/>
  <c r="O93" i="215" s="1"/>
  <c r="M92" i="215"/>
  <c r="O92" i="215" s="1"/>
  <c r="M91" i="215"/>
  <c r="O91" i="215" s="1"/>
  <c r="J91" i="215"/>
  <c r="M90" i="215"/>
  <c r="O90" i="215" s="1"/>
  <c r="J90" i="215"/>
  <c r="M89" i="215"/>
  <c r="O89" i="215" s="1"/>
  <c r="O88" i="215"/>
  <c r="M87" i="215"/>
  <c r="O87" i="215" s="1"/>
  <c r="M86" i="215"/>
  <c r="O86" i="215" s="1"/>
  <c r="O85" i="215"/>
  <c r="J85" i="215"/>
  <c r="M84" i="215"/>
  <c r="O84" i="215" s="1"/>
  <c r="J84" i="215"/>
  <c r="M83" i="215"/>
  <c r="O83" i="215" s="1"/>
  <c r="M82" i="215"/>
  <c r="O82" i="215" s="1"/>
  <c r="M81" i="215"/>
  <c r="O81" i="215" s="1"/>
  <c r="M80" i="215"/>
  <c r="O80" i="215" s="1"/>
  <c r="M79" i="215"/>
  <c r="O79" i="215" s="1"/>
  <c r="M78" i="215"/>
  <c r="O78" i="215" s="1"/>
  <c r="M77" i="215"/>
  <c r="O77" i="215" s="1"/>
  <c r="M76" i="215"/>
  <c r="O76" i="215" s="1"/>
  <c r="M75" i="215"/>
  <c r="O75" i="215" s="1"/>
  <c r="M74" i="215"/>
  <c r="O74" i="215" s="1"/>
  <c r="M73" i="215"/>
  <c r="O73" i="215" s="1"/>
  <c r="M72" i="215"/>
  <c r="O72" i="215" s="1"/>
  <c r="M71" i="215"/>
  <c r="O71" i="215" s="1"/>
  <c r="M70" i="215"/>
  <c r="O70" i="215" s="1"/>
  <c r="M69" i="215"/>
  <c r="O69" i="215" s="1"/>
  <c r="M68" i="215"/>
  <c r="O68" i="215" s="1"/>
  <c r="M67" i="215"/>
  <c r="O67" i="215" s="1"/>
  <c r="M66" i="215"/>
  <c r="O66" i="215" s="1"/>
  <c r="M65" i="215"/>
  <c r="O65" i="215" s="1"/>
  <c r="M64" i="215"/>
  <c r="O64" i="215" s="1"/>
  <c r="O63" i="215"/>
  <c r="J63" i="215"/>
  <c r="M62" i="215"/>
  <c r="O62" i="215" s="1"/>
  <c r="M61" i="215"/>
  <c r="O61" i="215" s="1"/>
  <c r="M60" i="215"/>
  <c r="O60" i="215" s="1"/>
  <c r="M59" i="215"/>
  <c r="O59" i="215" s="1"/>
  <c r="M58" i="215"/>
  <c r="O58" i="215" s="1"/>
  <c r="M57" i="215"/>
  <c r="O57" i="215" s="1"/>
  <c r="M56" i="215"/>
  <c r="O56" i="215" s="1"/>
  <c r="M55" i="215"/>
  <c r="O55" i="215" s="1"/>
  <c r="M54" i="215"/>
  <c r="M53" i="215"/>
  <c r="O53" i="215" s="1"/>
  <c r="J53" i="215"/>
  <c r="O52" i="215"/>
  <c r="J52" i="215"/>
  <c r="O51" i="215"/>
  <c r="J51" i="215"/>
  <c r="M50" i="215"/>
  <c r="O50" i="215" s="1"/>
  <c r="M49" i="215"/>
  <c r="O49" i="215" s="1"/>
  <c r="M48" i="215"/>
  <c r="O48" i="215" s="1"/>
  <c r="M47" i="215"/>
  <c r="O47" i="215" s="1"/>
  <c r="M46" i="215"/>
  <c r="O46" i="215" s="1"/>
  <c r="M45" i="215"/>
  <c r="O45" i="215" s="1"/>
  <c r="J45" i="215"/>
  <c r="M44" i="215"/>
  <c r="O44" i="215" s="1"/>
  <c r="J44" i="215"/>
  <c r="M43" i="215"/>
  <c r="O43" i="215" s="1"/>
  <c r="J43" i="215"/>
  <c r="M42" i="215"/>
  <c r="O42" i="215" s="1"/>
  <c r="J42" i="215"/>
  <c r="M41" i="215"/>
  <c r="O41" i="215" s="1"/>
  <c r="M40" i="215"/>
  <c r="O40" i="215" s="1"/>
  <c r="M39" i="215"/>
  <c r="O39" i="215" s="1"/>
  <c r="M38" i="215"/>
  <c r="O38" i="215" s="1"/>
  <c r="M37" i="215"/>
  <c r="O37" i="215" s="1"/>
  <c r="O36" i="215"/>
  <c r="M35" i="215"/>
  <c r="O35" i="215" s="1"/>
  <c r="M34" i="215"/>
  <c r="O34" i="215" s="1"/>
  <c r="M33" i="215"/>
  <c r="O33" i="215" s="1"/>
  <c r="M32" i="215"/>
  <c r="O32" i="215" s="1"/>
  <c r="O31" i="215"/>
  <c r="M30" i="215"/>
  <c r="O30" i="215" s="1"/>
  <c r="O29" i="215"/>
  <c r="O28" i="215"/>
  <c r="M27" i="215"/>
  <c r="O27" i="215" s="1"/>
  <c r="J26" i="215"/>
  <c r="M26" i="215" s="1"/>
  <c r="O26" i="215" s="1"/>
  <c r="M20" i="215"/>
  <c r="O20" i="215" s="1"/>
  <c r="J20" i="215"/>
  <c r="M19" i="215"/>
  <c r="O19" i="215" s="1"/>
  <c r="M18" i="215"/>
  <c r="O18" i="215" s="1"/>
  <c r="J18" i="215"/>
  <c r="O17" i="215"/>
  <c r="M16" i="215"/>
  <c r="O16" i="215" s="1"/>
  <c r="J16" i="215"/>
  <c r="M15" i="215"/>
  <c r="O15" i="215" s="1"/>
  <c r="M14" i="215"/>
  <c r="O14" i="215" s="1"/>
  <c r="M13" i="215"/>
  <c r="O13" i="215" s="1"/>
  <c r="J13" i="215"/>
  <c r="O12" i="215"/>
  <c r="G11" i="215"/>
  <c r="M11" i="215" s="1"/>
  <c r="O11" i="215" s="1"/>
  <c r="M10" i="215"/>
  <c r="O10" i="215" s="1"/>
  <c r="M9" i="215"/>
  <c r="O9" i="215" s="1"/>
  <c r="O8" i="215"/>
  <c r="O7" i="215"/>
  <c r="O6" i="215"/>
  <c r="F918" i="57" l="1"/>
  <c r="G918" i="57" s="1"/>
  <c r="N28" i="1"/>
  <c r="K25" i="2"/>
  <c r="L25" i="2" s="1"/>
  <c r="F78" i="57"/>
  <c r="G78" i="57" s="1"/>
  <c r="H1061" i="57"/>
  <c r="F1058" i="57" s="1"/>
  <c r="I1061" i="57"/>
  <c r="G1058" i="57" s="1"/>
  <c r="F1042" i="57"/>
  <c r="G1042" i="57" s="1"/>
  <c r="F1035" i="57"/>
  <c r="G1035" i="57" s="1"/>
  <c r="F1043" i="57"/>
  <c r="G1043" i="57" s="1"/>
  <c r="F1036" i="57"/>
  <c r="G1036" i="57" s="1"/>
  <c r="K12" i="2"/>
  <c r="L12" i="2" s="1"/>
  <c r="F1033" i="57"/>
  <c r="G1033" i="57" s="1"/>
  <c r="F1047" i="57"/>
  <c r="G1047" i="57" s="1"/>
  <c r="F1040" i="57"/>
  <c r="G1040" i="57" s="1"/>
  <c r="F1054" i="57"/>
  <c r="G1054" i="57" s="1"/>
  <c r="I1068" i="57"/>
  <c r="G1065" i="57" s="1"/>
  <c r="H1068" i="57"/>
  <c r="F1065" i="57" s="1"/>
  <c r="F959" i="57"/>
  <c r="G959" i="57" s="1"/>
  <c r="F947" i="57"/>
  <c r="G947" i="57" s="1"/>
  <c r="F941" i="57"/>
  <c r="G941" i="57" s="1"/>
  <c r="F953" i="57"/>
  <c r="G953" i="57" s="1"/>
  <c r="F962" i="57"/>
  <c r="G962" i="57" s="1"/>
  <c r="F954" i="57"/>
  <c r="G954" i="57" s="1"/>
  <c r="F942" i="57"/>
  <c r="G942" i="57" s="1"/>
  <c r="F948" i="57"/>
  <c r="G948" i="57" s="1"/>
  <c r="F963" i="57"/>
  <c r="G963" i="57" s="1"/>
  <c r="F943" i="57"/>
  <c r="G943" i="57" s="1"/>
  <c r="F955" i="57"/>
  <c r="G955" i="57" s="1"/>
  <c r="F949" i="57"/>
  <c r="G949" i="57" s="1"/>
  <c r="K82" i="2"/>
  <c r="L82" i="2" s="1"/>
  <c r="F933" i="57"/>
  <c r="G933" i="57" s="1"/>
  <c r="F887" i="57"/>
  <c r="G887" i="57" s="1"/>
  <c r="F871" i="57"/>
  <c r="G871" i="57" s="1"/>
  <c r="F903" i="57"/>
  <c r="G903" i="57" s="1"/>
  <c r="F919" i="57"/>
  <c r="G919" i="57" s="1"/>
  <c r="F911" i="57"/>
  <c r="G911" i="57" s="1"/>
  <c r="F901" i="57"/>
  <c r="G901" i="57" s="1"/>
  <c r="F908" i="57"/>
  <c r="G908" i="57" s="1"/>
  <c r="F916" i="57"/>
  <c r="G916" i="57" s="1"/>
  <c r="F909" i="57"/>
  <c r="G909" i="57" s="1"/>
  <c r="F902" i="57"/>
  <c r="G902" i="57" s="1"/>
  <c r="F886" i="57"/>
  <c r="G886" i="57" s="1"/>
  <c r="F878" i="57"/>
  <c r="G878" i="57" s="1"/>
  <c r="F917" i="57"/>
  <c r="G917" i="57" s="1"/>
  <c r="F894" i="57"/>
  <c r="G894" i="57" s="1"/>
  <c r="F870" i="57"/>
  <c r="G870" i="57" s="1"/>
  <c r="F889" i="57"/>
  <c r="G889" i="57" s="1"/>
  <c r="F881" i="57"/>
  <c r="G881" i="57" s="1"/>
  <c r="F873" i="57"/>
  <c r="G873" i="57" s="1"/>
  <c r="F897" i="57"/>
  <c r="G897" i="57" s="1"/>
  <c r="M254" i="215"/>
  <c r="O254" i="215" s="1"/>
  <c r="F879" i="57"/>
  <c r="G879" i="57" s="1"/>
  <c r="F895" i="57"/>
  <c r="G895" i="57" s="1"/>
  <c r="F857" i="57"/>
  <c r="G857" i="57" s="1"/>
  <c r="F893" i="57"/>
  <c r="G893" i="57" s="1"/>
  <c r="F869" i="57"/>
  <c r="G869" i="57" s="1"/>
  <c r="F885" i="57"/>
  <c r="G885" i="57" s="1"/>
  <c r="F877" i="57"/>
  <c r="G877" i="57" s="1"/>
  <c r="F910" i="57"/>
  <c r="G910" i="57" s="1"/>
  <c r="F849" i="57"/>
  <c r="G849" i="57" s="1"/>
  <c r="F851" i="57"/>
  <c r="G851" i="57" s="1"/>
  <c r="F859" i="57"/>
  <c r="G859" i="57" s="1"/>
  <c r="F856" i="57"/>
  <c r="G856" i="57" s="1"/>
  <c r="F864" i="57"/>
  <c r="G864" i="57" s="1"/>
  <c r="H863" i="57" s="1"/>
  <c r="N141" i="1"/>
  <c r="F835" i="57"/>
  <c r="G835" i="57" s="1"/>
  <c r="N142" i="1"/>
  <c r="F841" i="57"/>
  <c r="G841" i="57" s="1"/>
  <c r="F848" i="57"/>
  <c r="G848" i="57" s="1"/>
  <c r="F842" i="57"/>
  <c r="G842" i="57" s="1"/>
  <c r="F836" i="57"/>
  <c r="G836" i="57" s="1"/>
  <c r="F642" i="57"/>
  <c r="G642" i="57" s="1"/>
  <c r="F751" i="57"/>
  <c r="G751" i="57" s="1"/>
  <c r="F537" i="57"/>
  <c r="G537" i="57" s="1"/>
  <c r="F436" i="57"/>
  <c r="G436" i="57" s="1"/>
  <c r="F327" i="57"/>
  <c r="G327" i="57" s="1"/>
  <c r="F206" i="57"/>
  <c r="G206" i="57" s="1"/>
  <c r="F58" i="57"/>
  <c r="G58" i="57" s="1"/>
  <c r="F135" i="57"/>
  <c r="G135" i="57" s="1"/>
  <c r="F787" i="57"/>
  <c r="G787" i="57" s="1"/>
  <c r="F813" i="57"/>
  <c r="G813" i="57" s="1"/>
  <c r="F800" i="57"/>
  <c r="G800" i="57" s="1"/>
  <c r="F521" i="57"/>
  <c r="G521" i="57" s="1"/>
  <c r="F624" i="57"/>
  <c r="G624" i="57" s="1"/>
  <c r="F733" i="57"/>
  <c r="G733" i="57" s="1"/>
  <c r="F418" i="57"/>
  <c r="G418" i="57" s="1"/>
  <c r="F309" i="57"/>
  <c r="G309" i="57" s="1"/>
  <c r="F238" i="57"/>
  <c r="G238" i="57" s="1"/>
  <c r="F124" i="57"/>
  <c r="G124" i="57" s="1"/>
  <c r="F48" i="57"/>
  <c r="G48" i="57" s="1"/>
  <c r="F625" i="57"/>
  <c r="G625" i="57" s="1"/>
  <c r="F770" i="57"/>
  <c r="G770" i="57" s="1"/>
  <c r="F643" i="57"/>
  <c r="G643" i="57" s="1"/>
  <c r="F661" i="57"/>
  <c r="G661" i="57" s="1"/>
  <c r="F570" i="57"/>
  <c r="G570" i="57" s="1"/>
  <c r="F506" i="57"/>
  <c r="G506" i="57" s="1"/>
  <c r="F752" i="57"/>
  <c r="G752" i="57" s="1"/>
  <c r="F679" i="57"/>
  <c r="G679" i="57" s="1"/>
  <c r="F734" i="57"/>
  <c r="G734" i="57" s="1"/>
  <c r="F554" i="57"/>
  <c r="G554" i="57" s="1"/>
  <c r="F490" i="57"/>
  <c r="G490" i="57" s="1"/>
  <c r="F716" i="57"/>
  <c r="G716" i="57" s="1"/>
  <c r="F538" i="57"/>
  <c r="G538" i="57" s="1"/>
  <c r="F698" i="57"/>
  <c r="G698" i="57" s="1"/>
  <c r="F589" i="57"/>
  <c r="G589" i="57" s="1"/>
  <c r="F607" i="57"/>
  <c r="G607" i="57" s="1"/>
  <c r="F522" i="57"/>
  <c r="G522" i="57" s="1"/>
  <c r="F473" i="57"/>
  <c r="G473" i="57" s="1"/>
  <c r="F437" i="57"/>
  <c r="G437" i="57" s="1"/>
  <c r="F419" i="57"/>
  <c r="G419" i="57" s="1"/>
  <c r="F401" i="57"/>
  <c r="G401" i="57" s="1"/>
  <c r="F383" i="57"/>
  <c r="G383" i="57" s="1"/>
  <c r="F455" i="57"/>
  <c r="G455" i="57" s="1"/>
  <c r="F364" i="57"/>
  <c r="G364" i="57" s="1"/>
  <c r="F274" i="57"/>
  <c r="G274" i="57" s="1"/>
  <c r="F292" i="57"/>
  <c r="G292" i="57" s="1"/>
  <c r="F310" i="57"/>
  <c r="G310" i="57" s="1"/>
  <c r="F328" i="57"/>
  <c r="G328" i="57" s="1"/>
  <c r="F346" i="57"/>
  <c r="G346" i="57" s="1"/>
  <c r="F175" i="57"/>
  <c r="G175" i="57" s="1"/>
  <c r="F255" i="57"/>
  <c r="G255" i="57" s="1"/>
  <c r="F191" i="57"/>
  <c r="G191" i="57" s="1"/>
  <c r="F239" i="57"/>
  <c r="G239" i="57" s="1"/>
  <c r="F223" i="57"/>
  <c r="G223" i="57" s="1"/>
  <c r="F207" i="57"/>
  <c r="G207" i="57" s="1"/>
  <c r="F158" i="57"/>
  <c r="G158" i="57" s="1"/>
  <c r="F788" i="57"/>
  <c r="G788" i="57" s="1"/>
  <c r="F801" i="57"/>
  <c r="G801" i="57" s="1"/>
  <c r="F814" i="57"/>
  <c r="G814" i="57" s="1"/>
  <c r="F806" i="57"/>
  <c r="G806" i="57" s="1"/>
  <c r="F793" i="57"/>
  <c r="G793" i="57" s="1"/>
  <c r="F819" i="57"/>
  <c r="G819" i="57" s="1"/>
  <c r="K76" i="2"/>
  <c r="L76" i="2" s="1"/>
  <c r="F778" i="57"/>
  <c r="G778" i="57" s="1"/>
  <c r="F687" i="57"/>
  <c r="G687" i="57" s="1"/>
  <c r="F824" i="57"/>
  <c r="G824" i="57" s="1"/>
  <c r="F760" i="57"/>
  <c r="G760" i="57" s="1"/>
  <c r="F830" i="57"/>
  <c r="G830" i="57" s="1"/>
  <c r="F742" i="57"/>
  <c r="G742" i="57" s="1"/>
  <c r="F724" i="57"/>
  <c r="G724" i="57" s="1"/>
  <c r="F706" i="57"/>
  <c r="G706" i="57" s="1"/>
  <c r="F463" i="57"/>
  <c r="G463" i="57" s="1"/>
  <c r="F445" i="57"/>
  <c r="G445" i="57" s="1"/>
  <c r="F427" i="57"/>
  <c r="G427" i="57" s="1"/>
  <c r="F409" i="57"/>
  <c r="G409" i="57" s="1"/>
  <c r="F391" i="57"/>
  <c r="G391" i="57" s="1"/>
  <c r="F372" i="57"/>
  <c r="G372" i="57" s="1"/>
  <c r="F676" i="57"/>
  <c r="G676" i="57" s="1"/>
  <c r="F486" i="57"/>
  <c r="G486" i="57" s="1"/>
  <c r="F470" i="57"/>
  <c r="G470" i="57" s="1"/>
  <c r="F694" i="57"/>
  <c r="G694" i="57" s="1"/>
  <c r="F585" i="57"/>
  <c r="G585" i="57" s="1"/>
  <c r="F567" i="57"/>
  <c r="G567" i="57" s="1"/>
  <c r="F379" i="57"/>
  <c r="G379" i="57" s="1"/>
  <c r="F361" i="57"/>
  <c r="G361" i="57" s="1"/>
  <c r="F270" i="57"/>
  <c r="G270" i="57" s="1"/>
  <c r="F171" i="57"/>
  <c r="G171" i="57" s="1"/>
  <c r="F252" i="57"/>
  <c r="G252" i="57" s="1"/>
  <c r="F155" i="57"/>
  <c r="G155" i="57" s="1"/>
  <c r="F87" i="57"/>
  <c r="G87" i="57" s="1"/>
  <c r="F98" i="57"/>
  <c r="G98" i="57" s="1"/>
  <c r="F24" i="57"/>
  <c r="G24" i="57" s="1"/>
  <c r="F14" i="57"/>
  <c r="G14" i="57" s="1"/>
  <c r="F731" i="57"/>
  <c r="G731" i="57" s="1"/>
  <c r="F797" i="57"/>
  <c r="G797" i="57" s="1"/>
  <c r="F519" i="57"/>
  <c r="G519" i="57" s="1"/>
  <c r="F622" i="57"/>
  <c r="G622" i="57" s="1"/>
  <c r="F416" i="57"/>
  <c r="G416" i="57" s="1"/>
  <c r="F307" i="57"/>
  <c r="G307" i="57" s="1"/>
  <c r="F236" i="57"/>
  <c r="G236" i="57" s="1"/>
  <c r="F47" i="57"/>
  <c r="G47" i="57" s="1"/>
  <c r="F123" i="57"/>
  <c r="G123" i="57" s="1"/>
  <c r="F472" i="57"/>
  <c r="G472" i="57" s="1"/>
  <c r="F714" i="57"/>
  <c r="G714" i="57" s="1"/>
  <c r="F536" i="57"/>
  <c r="G536" i="57" s="1"/>
  <c r="F696" i="57"/>
  <c r="G696" i="57" s="1"/>
  <c r="F587" i="57"/>
  <c r="G587" i="57" s="1"/>
  <c r="F605" i="57"/>
  <c r="G605" i="57" s="1"/>
  <c r="F569" i="57"/>
  <c r="G569" i="57" s="1"/>
  <c r="F520" i="57"/>
  <c r="G520" i="57" s="1"/>
  <c r="F678" i="57"/>
  <c r="G678" i="57" s="1"/>
  <c r="F623" i="57"/>
  <c r="G623" i="57" s="1"/>
  <c r="F768" i="57"/>
  <c r="G768" i="57" s="1"/>
  <c r="F641" i="57"/>
  <c r="G641" i="57" s="1"/>
  <c r="F659" i="57"/>
  <c r="G659" i="57" s="1"/>
  <c r="F504" i="57"/>
  <c r="G504" i="57" s="1"/>
  <c r="F750" i="57"/>
  <c r="G750" i="57" s="1"/>
  <c r="F732" i="57"/>
  <c r="G732" i="57" s="1"/>
  <c r="F552" i="57"/>
  <c r="G552" i="57" s="1"/>
  <c r="F488" i="57"/>
  <c r="G488" i="57" s="1"/>
  <c r="F453" i="57"/>
  <c r="G453" i="57" s="1"/>
  <c r="F435" i="57"/>
  <c r="G435" i="57" s="1"/>
  <c r="F417" i="57"/>
  <c r="G417" i="57" s="1"/>
  <c r="F381" i="57"/>
  <c r="G381" i="57" s="1"/>
  <c r="F399" i="57"/>
  <c r="G399" i="57" s="1"/>
  <c r="F363" i="57"/>
  <c r="G363" i="57" s="1"/>
  <c r="F326" i="57"/>
  <c r="G326" i="57" s="1"/>
  <c r="F272" i="57"/>
  <c r="G272" i="57" s="1"/>
  <c r="F344" i="57"/>
  <c r="G344" i="57" s="1"/>
  <c r="F308" i="57"/>
  <c r="G308" i="57" s="1"/>
  <c r="F290" i="57"/>
  <c r="G290" i="57" s="1"/>
  <c r="F221" i="57"/>
  <c r="G221" i="57" s="1"/>
  <c r="F205" i="57"/>
  <c r="G205" i="57" s="1"/>
  <c r="F254" i="57"/>
  <c r="G254" i="57" s="1"/>
  <c r="F173" i="57"/>
  <c r="G173" i="57" s="1"/>
  <c r="F189" i="57"/>
  <c r="G189" i="57" s="1"/>
  <c r="F237" i="57"/>
  <c r="G237" i="57" s="1"/>
  <c r="F157" i="57"/>
  <c r="G157" i="57" s="1"/>
  <c r="F89" i="57"/>
  <c r="G89" i="57" s="1"/>
  <c r="F46" i="57"/>
  <c r="G46" i="57" s="1"/>
  <c r="F56" i="57"/>
  <c r="G56" i="57" s="1"/>
  <c r="F133" i="57"/>
  <c r="G133" i="57" s="1"/>
  <c r="F110" i="57"/>
  <c r="G110" i="57" s="1"/>
  <c r="F100" i="57"/>
  <c r="G100" i="57" s="1"/>
  <c r="F66" i="57"/>
  <c r="G66" i="57" s="1"/>
  <c r="F144" i="57"/>
  <c r="G144" i="57" s="1"/>
  <c r="F122" i="57"/>
  <c r="G122" i="57" s="1"/>
  <c r="F35" i="57"/>
  <c r="G35" i="57" s="1"/>
  <c r="F26" i="57"/>
  <c r="G26" i="57" s="1"/>
  <c r="F16" i="57"/>
  <c r="G16" i="57" s="1"/>
  <c r="F792" i="57"/>
  <c r="G792" i="57" s="1"/>
  <c r="F805" i="57"/>
  <c r="G805" i="57" s="1"/>
  <c r="F818" i="57"/>
  <c r="G818" i="57" s="1"/>
  <c r="F779" i="57"/>
  <c r="G779" i="57" s="1"/>
  <c r="F688" i="57"/>
  <c r="G688" i="57" s="1"/>
  <c r="F825" i="57"/>
  <c r="G825" i="57" s="1"/>
  <c r="F831" i="57"/>
  <c r="G831" i="57" s="1"/>
  <c r="F761" i="57"/>
  <c r="G761" i="57" s="1"/>
  <c r="F743" i="57"/>
  <c r="G743" i="57" s="1"/>
  <c r="F725" i="57"/>
  <c r="G725" i="57" s="1"/>
  <c r="F707" i="57"/>
  <c r="G707" i="57" s="1"/>
  <c r="F446" i="57"/>
  <c r="G446" i="57" s="1"/>
  <c r="F428" i="57"/>
  <c r="G428" i="57" s="1"/>
  <c r="F410" i="57"/>
  <c r="G410" i="57" s="1"/>
  <c r="F392" i="57"/>
  <c r="G392" i="57" s="1"/>
  <c r="F464" i="57"/>
  <c r="G464" i="57" s="1"/>
  <c r="F373" i="57"/>
  <c r="G373" i="57" s="1"/>
  <c r="F551" i="57"/>
  <c r="G551" i="57" s="1"/>
  <c r="F767" i="57"/>
  <c r="G767" i="57" s="1"/>
  <c r="F658" i="57"/>
  <c r="G658" i="57" s="1"/>
  <c r="F452" i="57"/>
  <c r="G452" i="57" s="1"/>
  <c r="F343" i="57"/>
  <c r="G343" i="57" s="1"/>
  <c r="F220" i="57"/>
  <c r="G220" i="57" s="1"/>
  <c r="F145" i="57"/>
  <c r="G145" i="57" s="1"/>
  <c r="F67" i="57"/>
  <c r="G67" i="57" s="1"/>
  <c r="F802" i="57"/>
  <c r="G802" i="57" s="1"/>
  <c r="F815" i="57"/>
  <c r="G815" i="57" s="1"/>
  <c r="F789" i="57"/>
  <c r="G789" i="57" s="1"/>
  <c r="K77" i="2"/>
  <c r="L77" i="2" s="1"/>
  <c r="F697" i="57"/>
  <c r="G697" i="57" s="1"/>
  <c r="F588" i="57"/>
  <c r="G588" i="57" s="1"/>
  <c r="F489" i="57"/>
  <c r="G489" i="57" s="1"/>
  <c r="F784" i="57"/>
  <c r="G784" i="57" s="1"/>
  <c r="F382" i="57"/>
  <c r="G382" i="57" s="1"/>
  <c r="F273" i="57"/>
  <c r="G273" i="57" s="1"/>
  <c r="F174" i="57"/>
  <c r="G174" i="57" s="1"/>
  <c r="F101" i="57"/>
  <c r="G101" i="57" s="1"/>
  <c r="F27" i="57"/>
  <c r="G27" i="57" s="1"/>
  <c r="F786" i="57"/>
  <c r="G786" i="57" s="1"/>
  <c r="F812" i="57"/>
  <c r="G812" i="57" s="1"/>
  <c r="F769" i="57"/>
  <c r="G769" i="57" s="1"/>
  <c r="F660" i="57"/>
  <c r="G660" i="57" s="1"/>
  <c r="F553" i="57"/>
  <c r="G553" i="57" s="1"/>
  <c r="F799" i="57"/>
  <c r="G799" i="57" s="1"/>
  <c r="F454" i="57"/>
  <c r="G454" i="57" s="1"/>
  <c r="K78" i="2"/>
  <c r="L78" i="2" s="1"/>
  <c r="F345" i="57"/>
  <c r="G345" i="57" s="1"/>
  <c r="F222" i="57"/>
  <c r="G222" i="57" s="1"/>
  <c r="F146" i="57"/>
  <c r="G146" i="57" s="1"/>
  <c r="F68" i="57"/>
  <c r="G68" i="57" s="1"/>
  <c r="F758" i="57"/>
  <c r="G758" i="57" s="1"/>
  <c r="F667" i="57"/>
  <c r="G667" i="57" s="1"/>
  <c r="F512" i="57"/>
  <c r="G512" i="57" s="1"/>
  <c r="F496" i="57"/>
  <c r="G496" i="57" s="1"/>
  <c r="F740" i="57"/>
  <c r="G740" i="57" s="1"/>
  <c r="F560" i="57"/>
  <c r="G560" i="57" s="1"/>
  <c r="F722" i="57"/>
  <c r="G722" i="57" s="1"/>
  <c r="F704" i="57"/>
  <c r="G704" i="57" s="1"/>
  <c r="F595" i="57"/>
  <c r="G595" i="57" s="1"/>
  <c r="F544" i="57"/>
  <c r="G544" i="57" s="1"/>
  <c r="F479" i="57"/>
  <c r="G479" i="57" s="1"/>
  <c r="F776" i="57"/>
  <c r="G776" i="57" s="1"/>
  <c r="F613" i="57"/>
  <c r="G613" i="57" s="1"/>
  <c r="F528" i="57"/>
  <c r="G528" i="57" s="1"/>
  <c r="F685" i="57"/>
  <c r="G685" i="57" s="1"/>
  <c r="F631" i="57"/>
  <c r="G631" i="57" s="1"/>
  <c r="F576" i="57"/>
  <c r="G576" i="57" s="1"/>
  <c r="F649" i="57"/>
  <c r="G649" i="57" s="1"/>
  <c r="F407" i="57"/>
  <c r="G407" i="57" s="1"/>
  <c r="F389" i="57"/>
  <c r="G389" i="57" s="1"/>
  <c r="F461" i="57"/>
  <c r="G461" i="57" s="1"/>
  <c r="F443" i="57"/>
  <c r="G443" i="57" s="1"/>
  <c r="F425" i="57"/>
  <c r="G425" i="57" s="1"/>
  <c r="F370" i="57"/>
  <c r="G370" i="57" s="1"/>
  <c r="F298" i="57"/>
  <c r="G298" i="57" s="1"/>
  <c r="F280" i="57"/>
  <c r="G280" i="57" s="1"/>
  <c r="F316" i="57"/>
  <c r="G316" i="57" s="1"/>
  <c r="F334" i="57"/>
  <c r="G334" i="57" s="1"/>
  <c r="F352" i="57"/>
  <c r="G352" i="57" s="1"/>
  <c r="F197" i="57"/>
  <c r="G197" i="57" s="1"/>
  <c r="F245" i="57"/>
  <c r="G245" i="57" s="1"/>
  <c r="F229" i="57"/>
  <c r="G229" i="57" s="1"/>
  <c r="F261" i="57"/>
  <c r="G261" i="57" s="1"/>
  <c r="F213" i="57"/>
  <c r="G213" i="57" s="1"/>
  <c r="F181" i="57"/>
  <c r="G181" i="57" s="1"/>
  <c r="F164" i="57"/>
  <c r="G164" i="57" s="1"/>
  <c r="F713" i="57"/>
  <c r="G713" i="57" s="1"/>
  <c r="F604" i="57"/>
  <c r="G604" i="57" s="1"/>
  <c r="F503" i="57"/>
  <c r="G503" i="57" s="1"/>
  <c r="F398" i="57"/>
  <c r="G398" i="57" s="1"/>
  <c r="F289" i="57"/>
  <c r="G289" i="57" s="1"/>
  <c r="F188" i="57"/>
  <c r="G188" i="57" s="1"/>
  <c r="F111" i="57"/>
  <c r="G111" i="57" s="1"/>
  <c r="F36" i="57"/>
  <c r="G36" i="57" s="1"/>
  <c r="F749" i="57"/>
  <c r="G749" i="57" s="1"/>
  <c r="F535" i="57"/>
  <c r="G535" i="57" s="1"/>
  <c r="F810" i="57"/>
  <c r="G810" i="57" s="1"/>
  <c r="F640" i="57"/>
  <c r="G640" i="57" s="1"/>
  <c r="F434" i="57"/>
  <c r="G434" i="57" s="1"/>
  <c r="F325" i="57"/>
  <c r="G325" i="57" s="1"/>
  <c r="F204" i="57"/>
  <c r="G204" i="57" s="1"/>
  <c r="F134" i="57"/>
  <c r="G134" i="57" s="1"/>
  <c r="F57" i="57"/>
  <c r="G57" i="57" s="1"/>
  <c r="F606" i="57"/>
  <c r="G606" i="57" s="1"/>
  <c r="F505" i="57"/>
  <c r="G505" i="57" s="1"/>
  <c r="F715" i="57"/>
  <c r="G715" i="57" s="1"/>
  <c r="F400" i="57"/>
  <c r="G400" i="57" s="1"/>
  <c r="F291" i="57"/>
  <c r="G291" i="57" s="1"/>
  <c r="F190" i="57"/>
  <c r="G190" i="57" s="1"/>
  <c r="F112" i="57"/>
  <c r="G112" i="57" s="1"/>
  <c r="F37" i="57"/>
  <c r="G37" i="57" s="1"/>
  <c r="F753" i="57"/>
  <c r="G753" i="57" s="1"/>
  <c r="F680" i="57"/>
  <c r="G680" i="57" s="1"/>
  <c r="F798" i="57"/>
  <c r="G798" i="57" s="1"/>
  <c r="F735" i="57"/>
  <c r="G735" i="57" s="1"/>
  <c r="F555" i="57"/>
  <c r="G555" i="57" s="1"/>
  <c r="F717" i="57"/>
  <c r="G717" i="57" s="1"/>
  <c r="F539" i="57"/>
  <c r="G539" i="57" s="1"/>
  <c r="F785" i="57"/>
  <c r="G785" i="57" s="1"/>
  <c r="F491" i="57"/>
  <c r="G491" i="57" s="1"/>
  <c r="F811" i="57"/>
  <c r="G811" i="57" s="1"/>
  <c r="F699" i="57"/>
  <c r="G699" i="57" s="1"/>
  <c r="F590" i="57"/>
  <c r="G590" i="57" s="1"/>
  <c r="F608" i="57"/>
  <c r="G608" i="57" s="1"/>
  <c r="F523" i="57"/>
  <c r="G523" i="57" s="1"/>
  <c r="F474" i="57"/>
  <c r="G474" i="57" s="1"/>
  <c r="F626" i="57"/>
  <c r="G626" i="57" s="1"/>
  <c r="F771" i="57"/>
  <c r="G771" i="57" s="1"/>
  <c r="F644" i="57"/>
  <c r="G644" i="57" s="1"/>
  <c r="F662" i="57"/>
  <c r="G662" i="57" s="1"/>
  <c r="F571" i="57"/>
  <c r="G571" i="57" s="1"/>
  <c r="F507" i="57"/>
  <c r="G507" i="57" s="1"/>
  <c r="F402" i="57"/>
  <c r="G402" i="57" s="1"/>
  <c r="F420" i="57"/>
  <c r="G420" i="57" s="1"/>
  <c r="F384" i="57"/>
  <c r="G384" i="57" s="1"/>
  <c r="F438" i="57"/>
  <c r="G438" i="57" s="1"/>
  <c r="F456" i="57"/>
  <c r="G456" i="57" s="1"/>
  <c r="F365" i="57"/>
  <c r="G365" i="57" s="1"/>
  <c r="F275" i="57"/>
  <c r="G275" i="57" s="1"/>
  <c r="F293" i="57"/>
  <c r="G293" i="57" s="1"/>
  <c r="F311" i="57"/>
  <c r="G311" i="57" s="1"/>
  <c r="F329" i="57"/>
  <c r="G329" i="57" s="1"/>
  <c r="F347" i="57"/>
  <c r="G347" i="57" s="1"/>
  <c r="F176" i="57"/>
  <c r="G176" i="57" s="1"/>
  <c r="F192" i="57"/>
  <c r="G192" i="57" s="1"/>
  <c r="F240" i="57"/>
  <c r="G240" i="57" s="1"/>
  <c r="F224" i="57"/>
  <c r="G224" i="57" s="1"/>
  <c r="F208" i="57"/>
  <c r="G208" i="57" s="1"/>
  <c r="F256" i="57"/>
  <c r="G256" i="57" s="1"/>
  <c r="F159" i="57"/>
  <c r="G159" i="57" s="1"/>
  <c r="F597" i="57"/>
  <c r="G597" i="57" s="1"/>
  <c r="F615" i="57"/>
  <c r="G615" i="57" s="1"/>
  <c r="F633" i="57"/>
  <c r="G633" i="57" s="1"/>
  <c r="F578" i="57"/>
  <c r="G578" i="57" s="1"/>
  <c r="F651" i="57"/>
  <c r="G651" i="57" s="1"/>
  <c r="F669" i="57"/>
  <c r="G669" i="57" s="1"/>
  <c r="F282" i="57"/>
  <c r="G282" i="57" s="1"/>
  <c r="F318" i="57"/>
  <c r="G318" i="57" s="1"/>
  <c r="F300" i="57"/>
  <c r="G300" i="57" s="1"/>
  <c r="F336" i="57"/>
  <c r="G336" i="57" s="1"/>
  <c r="F263" i="57"/>
  <c r="G263" i="57" s="1"/>
  <c r="F354" i="57"/>
  <c r="G354" i="57" s="1"/>
  <c r="F762" i="57"/>
  <c r="G762" i="57" s="1"/>
  <c r="F671" i="57"/>
  <c r="G671" i="57" s="1"/>
  <c r="F546" i="57"/>
  <c r="G546" i="57" s="1"/>
  <c r="F481" i="57"/>
  <c r="G481" i="57" s="1"/>
  <c r="F744" i="57"/>
  <c r="G744" i="57" s="1"/>
  <c r="F530" i="57"/>
  <c r="G530" i="57" s="1"/>
  <c r="F726" i="57"/>
  <c r="G726" i="57" s="1"/>
  <c r="F708" i="57"/>
  <c r="G708" i="57" s="1"/>
  <c r="F599" i="57"/>
  <c r="G599" i="57" s="1"/>
  <c r="F514" i="57"/>
  <c r="G514" i="57" s="1"/>
  <c r="F498" i="57"/>
  <c r="G498" i="57" s="1"/>
  <c r="F780" i="57"/>
  <c r="G780" i="57" s="1"/>
  <c r="F617" i="57"/>
  <c r="G617" i="57" s="1"/>
  <c r="F562" i="57"/>
  <c r="G562" i="57" s="1"/>
  <c r="F689" i="57"/>
  <c r="G689" i="57" s="1"/>
  <c r="F635" i="57"/>
  <c r="G635" i="57" s="1"/>
  <c r="F580" i="57"/>
  <c r="G580" i="57" s="1"/>
  <c r="F653" i="57"/>
  <c r="G653" i="57" s="1"/>
  <c r="F411" i="57"/>
  <c r="G411" i="57" s="1"/>
  <c r="F393" i="57"/>
  <c r="G393" i="57" s="1"/>
  <c r="F447" i="57"/>
  <c r="G447" i="57" s="1"/>
  <c r="F429" i="57"/>
  <c r="G429" i="57" s="1"/>
  <c r="F465" i="57"/>
  <c r="G465" i="57" s="1"/>
  <c r="F374" i="57"/>
  <c r="G374" i="57" s="1"/>
  <c r="F356" i="57"/>
  <c r="G356" i="57" s="1"/>
  <c r="F284" i="57"/>
  <c r="G284" i="57" s="1"/>
  <c r="F320" i="57"/>
  <c r="G320" i="57" s="1"/>
  <c r="F302" i="57"/>
  <c r="G302" i="57" s="1"/>
  <c r="F338" i="57"/>
  <c r="G338" i="57" s="1"/>
  <c r="F265" i="57"/>
  <c r="G265" i="57" s="1"/>
  <c r="F231" i="57"/>
  <c r="G231" i="57" s="1"/>
  <c r="F215" i="57"/>
  <c r="G215" i="57" s="1"/>
  <c r="F183" i="57"/>
  <c r="G183" i="57" s="1"/>
  <c r="F247" i="57"/>
  <c r="G247" i="57" s="1"/>
  <c r="F199" i="57"/>
  <c r="G199" i="57" s="1"/>
  <c r="F166" i="57"/>
  <c r="G166" i="57" s="1"/>
  <c r="F138" i="57"/>
  <c r="G138" i="57" s="1"/>
  <c r="F116" i="57"/>
  <c r="G116" i="57" s="1"/>
  <c r="F127" i="57"/>
  <c r="G127" i="57" s="1"/>
  <c r="F104" i="57"/>
  <c r="G104" i="57" s="1"/>
  <c r="F92" i="57"/>
  <c r="G92" i="57" s="1"/>
  <c r="F149" i="57"/>
  <c r="G149" i="57" s="1"/>
  <c r="F93" i="57"/>
  <c r="G93" i="57" s="1"/>
  <c r="F61" i="57"/>
  <c r="G61" i="57" s="1"/>
  <c r="F71" i="57"/>
  <c r="G71" i="57" s="1"/>
  <c r="F51" i="57"/>
  <c r="G51" i="57" s="1"/>
  <c r="F41" i="57"/>
  <c r="G41" i="57" s="1"/>
  <c r="F19" i="57"/>
  <c r="G19" i="57" s="1"/>
  <c r="F30" i="57"/>
  <c r="G30" i="57" s="1"/>
  <c r="G20" i="200"/>
  <c r="E20" i="200"/>
  <c r="D20" i="200"/>
  <c r="G21" i="194"/>
  <c r="E21" i="194"/>
  <c r="D21" i="194"/>
  <c r="G20" i="208"/>
  <c r="E20" i="208"/>
  <c r="D20" i="208"/>
  <c r="G20" i="201"/>
  <c r="E20" i="201"/>
  <c r="D20" i="201"/>
  <c r="F15" i="201"/>
  <c r="F18" i="208"/>
  <c r="F15" i="213"/>
  <c r="F17" i="214"/>
  <c r="F17" i="212"/>
  <c r="I75" i="57" l="1"/>
  <c r="G72" i="57" s="1"/>
  <c r="I72" i="57" s="1"/>
  <c r="H75" i="57"/>
  <c r="F72" i="57" s="1"/>
  <c r="L1065" i="57"/>
  <c r="L96" i="218" s="1"/>
  <c r="L1058" i="57"/>
  <c r="L95" i="218" s="1"/>
  <c r="H1040" i="57"/>
  <c r="F1037" i="57" s="1"/>
  <c r="I1040" i="57"/>
  <c r="G1037" i="57" s="1"/>
  <c r="I1054" i="57"/>
  <c r="G1051" i="57" s="1"/>
  <c r="H1054" i="57"/>
  <c r="F1051" i="57" s="1"/>
  <c r="L1051" i="57" s="1"/>
  <c r="I1047" i="57"/>
  <c r="G1044" i="57" s="1"/>
  <c r="H1047" i="57"/>
  <c r="F1044" i="57" s="1"/>
  <c r="I1033" i="57"/>
  <c r="G1030" i="57" s="1"/>
  <c r="H1033" i="57"/>
  <c r="F1030" i="57" s="1"/>
  <c r="I1065" i="57"/>
  <c r="I96" i="218" s="1"/>
  <c r="G96" i="218"/>
  <c r="I1058" i="57"/>
  <c r="I95" i="218" s="1"/>
  <c r="G95" i="218"/>
  <c r="F96" i="218"/>
  <c r="H1065" i="57"/>
  <c r="H96" i="218" s="1"/>
  <c r="F95" i="218"/>
  <c r="H1058" i="57"/>
  <c r="H95" i="218" s="1"/>
  <c r="I941" i="57"/>
  <c r="G938" i="57" s="1"/>
  <c r="H953" i="57"/>
  <c r="F950" i="57" s="1"/>
  <c r="F80" i="218" s="1"/>
  <c r="I953" i="57"/>
  <c r="G950" i="57" s="1"/>
  <c r="H941" i="57"/>
  <c r="F938" i="57" s="1"/>
  <c r="F78" i="218" s="1"/>
  <c r="I947" i="57"/>
  <c r="G944" i="57" s="1"/>
  <c r="H947" i="57"/>
  <c r="F944" i="57" s="1"/>
  <c r="F79" i="218" s="1"/>
  <c r="I959" i="57"/>
  <c r="G956" i="57" s="1"/>
  <c r="H959" i="57"/>
  <c r="F956" i="57" s="1"/>
  <c r="F81" i="218" s="1"/>
  <c r="H901" i="57"/>
  <c r="F898" i="57" s="1"/>
  <c r="F73" i="218" s="1"/>
  <c r="I901" i="57"/>
  <c r="G898" i="57" s="1"/>
  <c r="I898" i="57" s="1"/>
  <c r="I73" i="218" s="1"/>
  <c r="I908" i="57"/>
  <c r="G905" i="57" s="1"/>
  <c r="I905" i="57" s="1"/>
  <c r="I74" i="218" s="1"/>
  <c r="I893" i="57"/>
  <c r="G890" i="57" s="1"/>
  <c r="H893" i="57"/>
  <c r="F890" i="57" s="1"/>
  <c r="H908" i="57"/>
  <c r="F905" i="57" s="1"/>
  <c r="I916" i="57"/>
  <c r="G913" i="57" s="1"/>
  <c r="H916" i="57"/>
  <c r="F913" i="57" s="1"/>
  <c r="I877" i="57"/>
  <c r="G874" i="57" s="1"/>
  <c r="H877" i="57"/>
  <c r="F874" i="57" s="1"/>
  <c r="H885" i="57"/>
  <c r="F882" i="57" s="1"/>
  <c r="I885" i="57"/>
  <c r="G882" i="57" s="1"/>
  <c r="H869" i="57"/>
  <c r="F866" i="57" s="1"/>
  <c r="I869" i="57"/>
  <c r="G866" i="57" s="1"/>
  <c r="I23" i="57"/>
  <c r="H23" i="57"/>
  <c r="F20" i="57" s="1"/>
  <c r="F12" i="218" s="1"/>
  <c r="I13" i="57"/>
  <c r="G10" i="57" s="1"/>
  <c r="H13" i="57"/>
  <c r="F860" i="57"/>
  <c r="F68" i="218" s="1"/>
  <c r="I863" i="57"/>
  <c r="G860" i="57" s="1"/>
  <c r="H841" i="57"/>
  <c r="I841" i="57" s="1"/>
  <c r="G838" i="57" s="1"/>
  <c r="H835" i="57"/>
  <c r="F832" i="57" s="1"/>
  <c r="F64" i="218" s="1"/>
  <c r="H86" i="57"/>
  <c r="F83" i="57" s="1"/>
  <c r="F17" i="218" s="1"/>
  <c r="I97" i="57"/>
  <c r="G94" i="57" s="1"/>
  <c r="I86" i="57"/>
  <c r="G83" i="57" s="1"/>
  <c r="H97" i="57"/>
  <c r="F94" i="57" s="1"/>
  <c r="L72" i="57" l="1"/>
  <c r="H72" i="57"/>
  <c r="L1030" i="57"/>
  <c r="L91" i="218" s="1"/>
  <c r="L1044" i="57"/>
  <c r="L93" i="218" s="1"/>
  <c r="L1037" i="57"/>
  <c r="L92" i="218" s="1"/>
  <c r="F91" i="218"/>
  <c r="H1030" i="57"/>
  <c r="H91" i="218" s="1"/>
  <c r="I950" i="57"/>
  <c r="I80" i="218" s="1"/>
  <c r="G80" i="218"/>
  <c r="I938" i="57"/>
  <c r="I78" i="218" s="1"/>
  <c r="G78" i="218"/>
  <c r="I1030" i="57"/>
  <c r="I91" i="218" s="1"/>
  <c r="G91" i="218"/>
  <c r="F93" i="218"/>
  <c r="H1044" i="57"/>
  <c r="H93" i="218" s="1"/>
  <c r="I1044" i="57"/>
  <c r="I93" i="218" s="1"/>
  <c r="G93" i="218"/>
  <c r="F94" i="218"/>
  <c r="H1051" i="57"/>
  <c r="H94" i="218" s="1"/>
  <c r="L94" i="218"/>
  <c r="I1051" i="57"/>
  <c r="I94" i="218" s="1"/>
  <c r="G94" i="218"/>
  <c r="I944" i="57"/>
  <c r="I79" i="218" s="1"/>
  <c r="G79" i="218"/>
  <c r="I1037" i="57"/>
  <c r="I92" i="218" s="1"/>
  <c r="G92" i="218"/>
  <c r="I956" i="57"/>
  <c r="I81" i="218" s="1"/>
  <c r="G81" i="218"/>
  <c r="F92" i="218"/>
  <c r="H1037" i="57"/>
  <c r="H92" i="218" s="1"/>
  <c r="G74" i="218"/>
  <c r="H938" i="57"/>
  <c r="H78" i="218" s="1"/>
  <c r="L938" i="57"/>
  <c r="L78" i="218" s="1"/>
  <c r="H956" i="57"/>
  <c r="H81" i="218" s="1"/>
  <c r="L956" i="57"/>
  <c r="L81" i="218" s="1"/>
  <c r="H944" i="57"/>
  <c r="H79" i="218" s="1"/>
  <c r="L944" i="57"/>
  <c r="L79" i="218" s="1"/>
  <c r="H950" i="57"/>
  <c r="H80" i="218" s="1"/>
  <c r="L950" i="57"/>
  <c r="L80" i="218" s="1"/>
  <c r="G73" i="218"/>
  <c r="H898" i="57"/>
  <c r="H73" i="218" s="1"/>
  <c r="L898" i="57"/>
  <c r="L73" i="218" s="1"/>
  <c r="I860" i="57"/>
  <c r="I68" i="218" s="1"/>
  <c r="G68" i="218"/>
  <c r="I838" i="57"/>
  <c r="I65" i="218" s="1"/>
  <c r="G65" i="218"/>
  <c r="I874" i="57"/>
  <c r="I70" i="218" s="1"/>
  <c r="G70" i="218"/>
  <c r="F71" i="218"/>
  <c r="H882" i="57"/>
  <c r="H71" i="218" s="1"/>
  <c r="L882" i="57"/>
  <c r="L71" i="218" s="1"/>
  <c r="F75" i="218"/>
  <c r="H913" i="57"/>
  <c r="H75" i="218" s="1"/>
  <c r="L913" i="57"/>
  <c r="L75" i="218" s="1"/>
  <c r="F70" i="218"/>
  <c r="H874" i="57"/>
  <c r="H70" i="218" s="1"/>
  <c r="L874" i="57"/>
  <c r="L70" i="218" s="1"/>
  <c r="I913" i="57"/>
  <c r="I75" i="218" s="1"/>
  <c r="G75" i="218"/>
  <c r="I866" i="57"/>
  <c r="I69" i="218" s="1"/>
  <c r="G69" i="218"/>
  <c r="F74" i="218"/>
  <c r="H905" i="57"/>
  <c r="H74" i="218" s="1"/>
  <c r="L905" i="57"/>
  <c r="L74" i="218" s="1"/>
  <c r="F69" i="218"/>
  <c r="H866" i="57"/>
  <c r="H69" i="218" s="1"/>
  <c r="L866" i="57"/>
  <c r="L69" i="218" s="1"/>
  <c r="F72" i="218"/>
  <c r="H890" i="57"/>
  <c r="H72" i="218" s="1"/>
  <c r="L890" i="57"/>
  <c r="L72" i="218" s="1"/>
  <c r="I882" i="57"/>
  <c r="I71" i="218" s="1"/>
  <c r="G71" i="218"/>
  <c r="I890" i="57"/>
  <c r="I72" i="218" s="1"/>
  <c r="G72" i="218"/>
  <c r="H94" i="57"/>
  <c r="H18" i="218" s="1"/>
  <c r="F18" i="218"/>
  <c r="I83" i="57"/>
  <c r="I17" i="218" s="1"/>
  <c r="G17" i="218"/>
  <c r="I10" i="57"/>
  <c r="I11" i="218" s="1"/>
  <c r="G11" i="218"/>
  <c r="I94" i="57"/>
  <c r="I18" i="218" s="1"/>
  <c r="G18" i="218"/>
  <c r="H860" i="57"/>
  <c r="H68" i="218" s="1"/>
  <c r="L860" i="57"/>
  <c r="L68" i="218" s="1"/>
  <c r="H832" i="57"/>
  <c r="H64" i="218" s="1"/>
  <c r="F838" i="57"/>
  <c r="F65" i="218" s="1"/>
  <c r="I835" i="57"/>
  <c r="G832" i="57" s="1"/>
  <c r="F10" i="57"/>
  <c r="G20" i="57"/>
  <c r="L94" i="57"/>
  <c r="L18" i="218" s="1"/>
  <c r="H83" i="57"/>
  <c r="H17" i="218" s="1"/>
  <c r="L83" i="57"/>
  <c r="H20" i="57"/>
  <c r="H12" i="218" s="1"/>
  <c r="F16" i="202"/>
  <c r="F15" i="202" s="1"/>
  <c r="L17" i="218" l="1"/>
  <c r="AE86" i="216"/>
  <c r="I832" i="57"/>
  <c r="I64" i="218" s="1"/>
  <c r="G64" i="218"/>
  <c r="I20" i="57"/>
  <c r="I12" i="218" s="1"/>
  <c r="G12" i="218"/>
  <c r="L10" i="57"/>
  <c r="L11" i="218" s="1"/>
  <c r="F11" i="218"/>
  <c r="H838" i="57"/>
  <c r="H65" i="218" s="1"/>
  <c r="L838" i="57"/>
  <c r="L65" i="218" s="1"/>
  <c r="L832" i="57"/>
  <c r="L64" i="218" s="1"/>
  <c r="H10" i="57"/>
  <c r="H11" i="218" s="1"/>
  <c r="L20" i="57"/>
  <c r="L12" i="218" s="1"/>
  <c r="F15" i="197"/>
  <c r="F15" i="136"/>
  <c r="F15" i="182"/>
  <c r="F17" i="200"/>
  <c r="F17" i="194"/>
  <c r="F18" i="201"/>
  <c r="E71" i="2" l="1"/>
  <c r="D71" i="2"/>
  <c r="L71" i="2"/>
  <c r="E70" i="2"/>
  <c r="D70" i="2"/>
  <c r="L72" i="2"/>
  <c r="E72" i="2"/>
  <c r="D72" i="2"/>
  <c r="E69" i="2"/>
  <c r="D69" i="2"/>
  <c r="K70" i="2"/>
  <c r="L70" i="2" s="1"/>
  <c r="I117" i="1"/>
  <c r="E22" i="214"/>
  <c r="D22" i="214"/>
  <c r="E21" i="214"/>
  <c r="D21" i="214"/>
  <c r="E20" i="214"/>
  <c r="D20" i="214"/>
  <c r="F19" i="214"/>
  <c r="E19" i="214"/>
  <c r="D19" i="214"/>
  <c r="G18" i="214"/>
  <c r="F18" i="214"/>
  <c r="E18" i="214"/>
  <c r="D18" i="214"/>
  <c r="E17" i="214"/>
  <c r="D17" i="214"/>
  <c r="G16" i="214"/>
  <c r="F16" i="214"/>
  <c r="E16" i="214"/>
  <c r="D16" i="214"/>
  <c r="G15" i="214"/>
  <c r="F15" i="214"/>
  <c r="E15" i="214"/>
  <c r="D15" i="214"/>
  <c r="E14" i="214"/>
  <c r="D14" i="214"/>
  <c r="E22" i="213"/>
  <c r="D22" i="213"/>
  <c r="E21" i="213"/>
  <c r="D21" i="213"/>
  <c r="E19" i="213"/>
  <c r="D19" i="213"/>
  <c r="F18" i="213"/>
  <c r="E18" i="213"/>
  <c r="D18" i="213"/>
  <c r="E17" i="213"/>
  <c r="D17" i="213"/>
  <c r="G16" i="213"/>
  <c r="F16" i="213"/>
  <c r="E16" i="213"/>
  <c r="D16" i="213"/>
  <c r="E15" i="213"/>
  <c r="D15" i="213"/>
  <c r="E14" i="213"/>
  <c r="D14" i="213"/>
  <c r="E21" i="212"/>
  <c r="D21" i="212"/>
  <c r="E22" i="212"/>
  <c r="D22" i="212"/>
  <c r="F18" i="212"/>
  <c r="E18" i="212"/>
  <c r="D18" i="212"/>
  <c r="E17" i="212"/>
  <c r="D17" i="212"/>
  <c r="G16" i="212"/>
  <c r="F16" i="212"/>
  <c r="E16" i="212"/>
  <c r="D16" i="212"/>
  <c r="G15" i="212"/>
  <c r="F15" i="212"/>
  <c r="E15" i="212"/>
  <c r="D15" i="212"/>
  <c r="E14" i="212"/>
  <c r="D14" i="212"/>
  <c r="N117" i="1" l="1"/>
  <c r="D17" i="211"/>
  <c r="E17" i="211" s="1"/>
  <c r="H14" i="211"/>
  <c r="I14" i="211" s="1"/>
  <c r="H15" i="211"/>
  <c r="I15" i="211" s="1"/>
  <c r="H16" i="211"/>
  <c r="I16" i="211" s="1"/>
  <c r="G16" i="211"/>
  <c r="E16" i="211"/>
  <c r="D16" i="211"/>
  <c r="G15" i="211"/>
  <c r="E15" i="211"/>
  <c r="D15" i="211"/>
  <c r="G14" i="211"/>
  <c r="E14" i="211"/>
  <c r="D14" i="211"/>
  <c r="H17" i="211"/>
  <c r="I17" i="211" s="1"/>
  <c r="E20" i="182"/>
  <c r="D20" i="182"/>
  <c r="N62" i="1"/>
  <c r="I62" i="1"/>
  <c r="N50" i="1"/>
  <c r="I50" i="1"/>
  <c r="N49" i="1"/>
  <c r="I49" i="1"/>
  <c r="N48" i="1"/>
  <c r="I48" i="1"/>
  <c r="I47" i="1"/>
  <c r="L63" i="2"/>
  <c r="L62" i="2"/>
  <c r="L61" i="2"/>
  <c r="L60" i="2"/>
  <c r="L59" i="2"/>
  <c r="L57" i="2"/>
  <c r="L49" i="2"/>
  <c r="L48" i="2"/>
  <c r="L46" i="2"/>
  <c r="L45" i="2"/>
  <c r="L44" i="2"/>
  <c r="L43" i="2"/>
  <c r="L42" i="2"/>
  <c r="L41" i="2"/>
  <c r="L40" i="2"/>
  <c r="I47" i="2"/>
  <c r="I33" i="2"/>
  <c r="I116" i="1"/>
  <c r="N64" i="1"/>
  <c r="I64" i="1"/>
  <c r="H15" i="208"/>
  <c r="I15" i="208" s="1"/>
  <c r="I61" i="1"/>
  <c r="G15" i="208" s="1"/>
  <c r="E24" i="208"/>
  <c r="D24" i="208"/>
  <c r="E23" i="208"/>
  <c r="D23" i="208"/>
  <c r="G22" i="208"/>
  <c r="E22" i="208"/>
  <c r="D22" i="208"/>
  <c r="E21" i="208"/>
  <c r="D21" i="208"/>
  <c r="F19" i="208"/>
  <c r="E19" i="208"/>
  <c r="D19" i="208"/>
  <c r="G18" i="208"/>
  <c r="E18" i="208"/>
  <c r="D18" i="208"/>
  <c r="G17" i="208"/>
  <c r="F17" i="208"/>
  <c r="E17" i="208"/>
  <c r="D17" i="208"/>
  <c r="G16" i="208"/>
  <c r="F16" i="208"/>
  <c r="E16" i="208"/>
  <c r="D16" i="208"/>
  <c r="E15" i="208"/>
  <c r="D15" i="208"/>
  <c r="E14" i="208"/>
  <c r="D14" i="208"/>
  <c r="I25" i="182"/>
  <c r="I25" i="183"/>
  <c r="I25" i="177"/>
  <c r="I25" i="204"/>
  <c r="I25" i="207"/>
  <c r="H21" i="207"/>
  <c r="I21" i="207" s="1"/>
  <c r="G21" i="207"/>
  <c r="E21" i="207"/>
  <c r="D21" i="207"/>
  <c r="H20" i="207"/>
  <c r="I20" i="207" s="1"/>
  <c r="G20" i="207"/>
  <c r="E20" i="207"/>
  <c r="D20" i="207"/>
  <c r="H17" i="207"/>
  <c r="I17" i="207" s="1"/>
  <c r="G17" i="207"/>
  <c r="E17" i="207"/>
  <c r="D17" i="207"/>
  <c r="H16" i="207"/>
  <c r="I16" i="207" s="1"/>
  <c r="G16" i="207"/>
  <c r="E16" i="207"/>
  <c r="D16" i="207"/>
  <c r="H15" i="207"/>
  <c r="I15" i="207" s="1"/>
  <c r="G15" i="207"/>
  <c r="E15" i="207"/>
  <c r="D15" i="207"/>
  <c r="H14" i="207"/>
  <c r="I14" i="207" s="1"/>
  <c r="G14" i="207"/>
  <c r="E14" i="207"/>
  <c r="D14" i="207"/>
  <c r="I64" i="2"/>
  <c r="J64" i="2"/>
  <c r="G21" i="199" s="1"/>
  <c r="D63" i="2"/>
  <c r="E63" i="2"/>
  <c r="E58" i="2"/>
  <c r="D58" i="2"/>
  <c r="E62" i="2"/>
  <c r="D62" i="2"/>
  <c r="E61" i="2"/>
  <c r="D61" i="2"/>
  <c r="E60" i="2"/>
  <c r="D60" i="2"/>
  <c r="E59" i="2"/>
  <c r="D59" i="2"/>
  <c r="E57" i="2"/>
  <c r="D57" i="2"/>
  <c r="I25" i="206"/>
  <c r="E21" i="206"/>
  <c r="D21" i="206"/>
  <c r="E20" i="206"/>
  <c r="D20" i="206"/>
  <c r="H17" i="206"/>
  <c r="I17" i="206" s="1"/>
  <c r="G17" i="206"/>
  <c r="E17" i="206"/>
  <c r="D17" i="206"/>
  <c r="G16" i="206"/>
  <c r="E16" i="206"/>
  <c r="D16" i="206"/>
  <c r="E15" i="206"/>
  <c r="D15" i="206"/>
  <c r="E14" i="206"/>
  <c r="D14" i="206"/>
  <c r="G21" i="205"/>
  <c r="G20" i="205"/>
  <c r="E21" i="205"/>
  <c r="E20" i="205"/>
  <c r="D21" i="205"/>
  <c r="D20" i="205"/>
  <c r="I25" i="205"/>
  <c r="E17" i="205"/>
  <c r="D17" i="205"/>
  <c r="E16" i="205"/>
  <c r="D16" i="205"/>
  <c r="G15" i="205"/>
  <c r="E15" i="205"/>
  <c r="D15" i="205"/>
  <c r="G14" i="205"/>
  <c r="E14" i="205"/>
  <c r="D14" i="205"/>
  <c r="H15" i="205"/>
  <c r="I15" i="205" s="1"/>
  <c r="I123" i="1"/>
  <c r="N122" i="1"/>
  <c r="I122" i="1"/>
  <c r="E17" i="204"/>
  <c r="D17" i="204"/>
  <c r="E17" i="203"/>
  <c r="D17" i="203"/>
  <c r="I56" i="2"/>
  <c r="E55" i="2"/>
  <c r="D55" i="2"/>
  <c r="J54" i="2"/>
  <c r="E54" i="2"/>
  <c r="D54" i="2"/>
  <c r="I53" i="2"/>
  <c r="E52" i="2"/>
  <c r="D52" i="2"/>
  <c r="E51" i="2"/>
  <c r="D51" i="2"/>
  <c r="H16" i="204"/>
  <c r="I16" i="204" s="1"/>
  <c r="G16" i="204"/>
  <c r="E16" i="204"/>
  <c r="D16" i="204"/>
  <c r="H15" i="204"/>
  <c r="G15" i="204"/>
  <c r="F15" i="204"/>
  <c r="E15" i="204"/>
  <c r="D15" i="204"/>
  <c r="E14" i="204"/>
  <c r="D14" i="204"/>
  <c r="H16" i="203"/>
  <c r="I16" i="203" s="1"/>
  <c r="G16" i="203"/>
  <c r="E16" i="203"/>
  <c r="D16" i="203"/>
  <c r="G15" i="203"/>
  <c r="E15" i="203"/>
  <c r="D15" i="203"/>
  <c r="E14" i="203"/>
  <c r="D14" i="203"/>
  <c r="E25" i="202"/>
  <c r="D25" i="202"/>
  <c r="E24" i="202"/>
  <c r="D24" i="202"/>
  <c r="G23" i="202"/>
  <c r="E23" i="202"/>
  <c r="D23" i="202"/>
  <c r="E22" i="202"/>
  <c r="D22" i="202"/>
  <c r="E21" i="202"/>
  <c r="D21" i="202"/>
  <c r="E20" i="202"/>
  <c r="D20" i="202"/>
  <c r="G19" i="202"/>
  <c r="E19" i="202"/>
  <c r="D19" i="202"/>
  <c r="G18" i="202"/>
  <c r="E18" i="202"/>
  <c r="D18" i="202"/>
  <c r="G17" i="202"/>
  <c r="E17" i="202"/>
  <c r="D17" i="202"/>
  <c r="E16" i="202"/>
  <c r="D16" i="202"/>
  <c r="G15" i="202"/>
  <c r="E15" i="202"/>
  <c r="D15" i="202"/>
  <c r="G14" i="202"/>
  <c r="E14" i="202"/>
  <c r="D14" i="202"/>
  <c r="F17" i="201"/>
  <c r="F19" i="201"/>
  <c r="E24" i="201"/>
  <c r="D24" i="201"/>
  <c r="E23" i="201"/>
  <c r="D23" i="201"/>
  <c r="G22" i="201"/>
  <c r="E22" i="201"/>
  <c r="D22" i="201"/>
  <c r="E21" i="201"/>
  <c r="D21" i="201"/>
  <c r="E19" i="201"/>
  <c r="D19" i="201"/>
  <c r="G18" i="201"/>
  <c r="E18" i="201"/>
  <c r="D18" i="201"/>
  <c r="G17" i="201"/>
  <c r="E17" i="201"/>
  <c r="D17" i="201"/>
  <c r="G16" i="201"/>
  <c r="E16" i="201"/>
  <c r="D16" i="201"/>
  <c r="E15" i="201"/>
  <c r="D15" i="201"/>
  <c r="E14" i="201"/>
  <c r="D14" i="201"/>
  <c r="G17" i="205"/>
  <c r="F16" i="201"/>
  <c r="H20" i="182"/>
  <c r="I20" i="182" s="1"/>
  <c r="I150" i="1"/>
  <c r="I167" i="1"/>
  <c r="G21" i="206" s="1"/>
  <c r="I166" i="1"/>
  <c r="G20" i="206" s="1"/>
  <c r="I165" i="1"/>
  <c r="N165" i="1" s="1"/>
  <c r="I164" i="1"/>
  <c r="N164" i="1" s="1"/>
  <c r="G15" i="206"/>
  <c r="I120" i="1"/>
  <c r="I121" i="1"/>
  <c r="J51" i="2"/>
  <c r="N120" i="1"/>
  <c r="N121" i="1"/>
  <c r="K51" i="2"/>
  <c r="L51" i="2" s="1"/>
  <c r="G14" i="206"/>
  <c r="N119" i="1"/>
  <c r="I119" i="1"/>
  <c r="N118" i="1"/>
  <c r="I118" i="1"/>
  <c r="F14" i="136"/>
  <c r="I163" i="1"/>
  <c r="N163" i="1"/>
  <c r="I162" i="1"/>
  <c r="N162" i="1"/>
  <c r="I161" i="1"/>
  <c r="N161" i="1" s="1"/>
  <c r="G19" i="199"/>
  <c r="D19" i="199"/>
  <c r="E19" i="199"/>
  <c r="F16" i="197"/>
  <c r="F18" i="197"/>
  <c r="G23" i="200"/>
  <c r="E23" i="200"/>
  <c r="D23" i="200"/>
  <c r="G22" i="200"/>
  <c r="E22" i="200"/>
  <c r="D22" i="200"/>
  <c r="E19" i="200"/>
  <c r="D19" i="200"/>
  <c r="G18" i="200"/>
  <c r="E18" i="200"/>
  <c r="D18" i="200"/>
  <c r="G17" i="200"/>
  <c r="E17" i="200"/>
  <c r="D17" i="200"/>
  <c r="G15" i="200"/>
  <c r="E15" i="200"/>
  <c r="D15" i="200"/>
  <c r="E14" i="200"/>
  <c r="D14" i="200"/>
  <c r="G18" i="194"/>
  <c r="E18" i="194"/>
  <c r="D18" i="194"/>
  <c r="E20" i="194"/>
  <c r="D20" i="194"/>
  <c r="G15" i="194"/>
  <c r="E15" i="194"/>
  <c r="D15" i="194"/>
  <c r="I50" i="2"/>
  <c r="J50" i="2"/>
  <c r="G20" i="214" s="1"/>
  <c r="E49" i="2"/>
  <c r="D49" i="2"/>
  <c r="E48" i="2"/>
  <c r="D48" i="2"/>
  <c r="D46" i="2"/>
  <c r="J47" i="2"/>
  <c r="E46" i="2"/>
  <c r="E45" i="2"/>
  <c r="D45" i="2"/>
  <c r="E44" i="2"/>
  <c r="D44" i="2"/>
  <c r="E43" i="2"/>
  <c r="D43" i="2"/>
  <c r="E42" i="2"/>
  <c r="D42" i="2"/>
  <c r="E41" i="2"/>
  <c r="D41" i="2"/>
  <c r="E40" i="2"/>
  <c r="D40" i="2"/>
  <c r="I34" i="2"/>
  <c r="I39" i="2" s="1"/>
  <c r="J38" i="2"/>
  <c r="J39" i="2" s="1"/>
  <c r="E38" i="2"/>
  <c r="D38" i="2"/>
  <c r="E37" i="2"/>
  <c r="D37" i="2"/>
  <c r="J36" i="2"/>
  <c r="E36" i="2"/>
  <c r="D36" i="2"/>
  <c r="E35" i="2"/>
  <c r="D35" i="2"/>
  <c r="E34" i="2"/>
  <c r="D34" i="2"/>
  <c r="N147" i="1"/>
  <c r="N149" i="1"/>
  <c r="N153" i="1"/>
  <c r="H23" i="202"/>
  <c r="I23" i="202" s="1"/>
  <c r="H22" i="208"/>
  <c r="I22" i="208" s="1"/>
  <c r="H22" i="200"/>
  <c r="I22" i="200" s="1"/>
  <c r="H24" i="201"/>
  <c r="I24" i="201" s="1"/>
  <c r="N159" i="1"/>
  <c r="N160" i="1"/>
  <c r="I27" i="2"/>
  <c r="N144" i="1"/>
  <c r="I144" i="1"/>
  <c r="E21" i="199"/>
  <c r="D21" i="199"/>
  <c r="E30" i="2"/>
  <c r="D30" i="2"/>
  <c r="E29" i="2"/>
  <c r="D29" i="2"/>
  <c r="J30" i="2"/>
  <c r="J29" i="2"/>
  <c r="E31" i="2"/>
  <c r="D31" i="2"/>
  <c r="J28" i="2"/>
  <c r="E28" i="2"/>
  <c r="D28" i="2"/>
  <c r="G18" i="172"/>
  <c r="G27" i="198"/>
  <c r="G24" i="198"/>
  <c r="G21" i="198"/>
  <c r="G18" i="198"/>
  <c r="F15" i="166"/>
  <c r="M13" i="136"/>
  <c r="L14" i="183"/>
  <c r="F15" i="168"/>
  <c r="E15" i="170"/>
  <c r="D15" i="170"/>
  <c r="G24" i="194"/>
  <c r="G23" i="194"/>
  <c r="E24" i="194"/>
  <c r="E23" i="194"/>
  <c r="D24" i="194"/>
  <c r="D23" i="194"/>
  <c r="I60" i="1"/>
  <c r="I59" i="1"/>
  <c r="N59" i="1"/>
  <c r="J27" i="2"/>
  <c r="J23" i="2"/>
  <c r="E15" i="2"/>
  <c r="D15" i="2"/>
  <c r="E16" i="2"/>
  <c r="D16" i="2"/>
  <c r="I14" i="2"/>
  <c r="H16" i="206"/>
  <c r="I16" i="206" s="1"/>
  <c r="N60" i="1"/>
  <c r="I159" i="1"/>
  <c r="I160" i="1"/>
  <c r="I158" i="1"/>
  <c r="G24" i="208" s="1"/>
  <c r="I156" i="1"/>
  <c r="I155" i="1"/>
  <c r="I154" i="1"/>
  <c r="N154" i="1"/>
  <c r="I153" i="1"/>
  <c r="I152" i="1"/>
  <c r="I151" i="1"/>
  <c r="I147" i="1"/>
  <c r="I148" i="1"/>
  <c r="I149" i="1"/>
  <c r="I146" i="1"/>
  <c r="I139" i="1"/>
  <c r="I140" i="1"/>
  <c r="I143" i="1"/>
  <c r="I138" i="1"/>
  <c r="K15" i="2"/>
  <c r="L15" i="2" s="1"/>
  <c r="N92" i="1"/>
  <c r="N96" i="1"/>
  <c r="N97" i="1"/>
  <c r="H14" i="204"/>
  <c r="I14" i="204" s="1"/>
  <c r="N99" i="1"/>
  <c r="N100" i="1"/>
  <c r="N101" i="1"/>
  <c r="N70" i="1"/>
  <c r="H17" i="213"/>
  <c r="I17" i="213" s="1"/>
  <c r="I46" i="1"/>
  <c r="I66" i="1"/>
  <c r="I67" i="1"/>
  <c r="I68" i="1"/>
  <c r="I69" i="1"/>
  <c r="I70" i="1"/>
  <c r="I71" i="1"/>
  <c r="I72" i="1"/>
  <c r="I73" i="1"/>
  <c r="I74" i="1"/>
  <c r="I76" i="1"/>
  <c r="I77" i="1"/>
  <c r="J52" i="2" s="1"/>
  <c r="J53" i="2" s="1"/>
  <c r="G17" i="203" s="1"/>
  <c r="I78" i="1"/>
  <c r="I79" i="1"/>
  <c r="I80" i="1"/>
  <c r="I81" i="1"/>
  <c r="I82" i="1"/>
  <c r="I83" i="1"/>
  <c r="I84" i="1"/>
  <c r="J37" i="2" s="1"/>
  <c r="I85" i="1"/>
  <c r="J16" i="2" s="1"/>
  <c r="I86" i="1"/>
  <c r="I87" i="1"/>
  <c r="I88" i="1"/>
  <c r="I89" i="1"/>
  <c r="I90" i="1"/>
  <c r="I91" i="1"/>
  <c r="I92" i="1"/>
  <c r="I93" i="1"/>
  <c r="I94" i="1"/>
  <c r="I96" i="1"/>
  <c r="I97" i="1"/>
  <c r="I98" i="1"/>
  <c r="G14" i="204" s="1"/>
  <c r="I99" i="1"/>
  <c r="G14" i="203" s="1"/>
  <c r="I100" i="1"/>
  <c r="I101" i="1"/>
  <c r="I102" i="1"/>
  <c r="I65" i="1"/>
  <c r="I95" i="1"/>
  <c r="I75" i="1"/>
  <c r="H18" i="208"/>
  <c r="I63" i="1"/>
  <c r="J31" i="2" s="1"/>
  <c r="J33" i="2" s="1"/>
  <c r="N58" i="1"/>
  <c r="I58" i="1"/>
  <c r="I57" i="1"/>
  <c r="I56" i="1"/>
  <c r="I44" i="1"/>
  <c r="I20" i="1"/>
  <c r="I18" i="1"/>
  <c r="K28" i="2"/>
  <c r="L28" i="2" s="1"/>
  <c r="N32" i="1"/>
  <c r="N33" i="1"/>
  <c r="N34" i="1"/>
  <c r="N35" i="1"/>
  <c r="N38" i="1"/>
  <c r="N39" i="1"/>
  <c r="N41" i="1"/>
  <c r="N42" i="1"/>
  <c r="H18" i="214"/>
  <c r="I18" i="214" s="1"/>
  <c r="H15" i="202"/>
  <c r="N7" i="1"/>
  <c r="N9" i="1"/>
  <c r="N14" i="1"/>
  <c r="N15" i="1"/>
  <c r="N20" i="1"/>
  <c r="H16" i="208"/>
  <c r="I45" i="1"/>
  <c r="G18" i="136"/>
  <c r="E18" i="136"/>
  <c r="D18" i="136"/>
  <c r="H19" i="199"/>
  <c r="I19" i="199" s="1"/>
  <c r="H18" i="201"/>
  <c r="I18" i="201" s="1"/>
  <c r="H17" i="200"/>
  <c r="I17" i="200" s="1"/>
  <c r="K37" i="2"/>
  <c r="L37" i="2" s="1"/>
  <c r="K29" i="2"/>
  <c r="L29" i="2" s="1"/>
  <c r="N156" i="1"/>
  <c r="H23" i="194"/>
  <c r="I23" i="194" s="1"/>
  <c r="N95" i="1"/>
  <c r="N98" i="1"/>
  <c r="H17" i="205"/>
  <c r="I17" i="205" s="1"/>
  <c r="E18" i="199"/>
  <c r="D18" i="199"/>
  <c r="E17" i="199"/>
  <c r="D17" i="199"/>
  <c r="E16" i="199"/>
  <c r="D16" i="199"/>
  <c r="E15" i="199"/>
  <c r="D15" i="199"/>
  <c r="E14" i="199"/>
  <c r="D14" i="199"/>
  <c r="E14" i="170"/>
  <c r="D14" i="170"/>
  <c r="E29" i="198"/>
  <c r="D29" i="198"/>
  <c r="E28" i="198"/>
  <c r="D28" i="198"/>
  <c r="E27" i="198"/>
  <c r="D27" i="198"/>
  <c r="E26" i="198"/>
  <c r="D26" i="198"/>
  <c r="E25" i="198"/>
  <c r="D25" i="198"/>
  <c r="E24" i="198"/>
  <c r="D24" i="198"/>
  <c r="E23" i="198"/>
  <c r="D23" i="198"/>
  <c r="E22" i="198"/>
  <c r="D22" i="198"/>
  <c r="E21" i="198"/>
  <c r="D21" i="198"/>
  <c r="E20" i="198"/>
  <c r="D20" i="198"/>
  <c r="E19" i="198"/>
  <c r="D19" i="198"/>
  <c r="E18" i="198"/>
  <c r="D18" i="198"/>
  <c r="E17" i="198"/>
  <c r="D17" i="198"/>
  <c r="E16" i="198"/>
  <c r="D16" i="198"/>
  <c r="E15" i="198"/>
  <c r="D15" i="198"/>
  <c r="E14" i="198"/>
  <c r="D14" i="198"/>
  <c r="E17" i="166"/>
  <c r="D17" i="166"/>
  <c r="E16" i="166"/>
  <c r="D16" i="166"/>
  <c r="E15" i="166"/>
  <c r="D15" i="166"/>
  <c r="E14" i="166"/>
  <c r="D14" i="166"/>
  <c r="D15" i="197"/>
  <c r="D16" i="197"/>
  <c r="D17" i="197"/>
  <c r="E18" i="197"/>
  <c r="D18" i="197"/>
  <c r="E15" i="197"/>
  <c r="E16" i="197"/>
  <c r="E17" i="197"/>
  <c r="E14" i="197"/>
  <c r="D17" i="168"/>
  <c r="E17" i="168"/>
  <c r="H18" i="199"/>
  <c r="I18" i="199" s="1"/>
  <c r="G18" i="199"/>
  <c r="G17" i="199"/>
  <c r="G16" i="199"/>
  <c r="G15" i="199"/>
  <c r="G14" i="199"/>
  <c r="G28" i="198"/>
  <c r="G26" i="198"/>
  <c r="G25" i="198"/>
  <c r="G23" i="198"/>
  <c r="G22" i="198"/>
  <c r="G20" i="198"/>
  <c r="G19" i="198"/>
  <c r="G17" i="198"/>
  <c r="G16" i="198"/>
  <c r="G15" i="198"/>
  <c r="G14" i="198"/>
  <c r="G17" i="197"/>
  <c r="G16" i="197"/>
  <c r="G15" i="197"/>
  <c r="G14" i="197"/>
  <c r="D14" i="197"/>
  <c r="E16" i="168"/>
  <c r="D16" i="168"/>
  <c r="E15" i="168"/>
  <c r="D15" i="168"/>
  <c r="E14" i="168"/>
  <c r="D14" i="168"/>
  <c r="G17" i="194"/>
  <c r="E17" i="194"/>
  <c r="D17" i="194"/>
  <c r="G14" i="194"/>
  <c r="E14" i="194"/>
  <c r="D14" i="194"/>
  <c r="E17" i="136"/>
  <c r="D17" i="136"/>
  <c r="E16" i="136"/>
  <c r="D16" i="136"/>
  <c r="E15" i="136"/>
  <c r="D15" i="136"/>
  <c r="E14" i="136"/>
  <c r="D14" i="136"/>
  <c r="F15" i="187"/>
  <c r="E17" i="187"/>
  <c r="D17" i="187"/>
  <c r="E16" i="187"/>
  <c r="D16" i="187"/>
  <c r="E15" i="187"/>
  <c r="D15" i="187"/>
  <c r="E14" i="187"/>
  <c r="D14" i="187"/>
  <c r="G14" i="182"/>
  <c r="H21" i="172"/>
  <c r="I21" i="172" s="1"/>
  <c r="G21" i="172"/>
  <c r="E21" i="172"/>
  <c r="D21" i="172"/>
  <c r="H20" i="172"/>
  <c r="I20" i="172" s="1"/>
  <c r="G20" i="172"/>
  <c r="E20" i="172"/>
  <c r="D20" i="172"/>
  <c r="H19" i="172"/>
  <c r="I19" i="172" s="1"/>
  <c r="G19" i="172"/>
  <c r="E19" i="172"/>
  <c r="D19" i="172"/>
  <c r="E18" i="172"/>
  <c r="D18" i="172"/>
  <c r="G17" i="172"/>
  <c r="E17" i="172"/>
  <c r="D17" i="172"/>
  <c r="G16" i="172"/>
  <c r="E16" i="172"/>
  <c r="D16" i="172"/>
  <c r="G15" i="172"/>
  <c r="E15" i="172"/>
  <c r="D15" i="172"/>
  <c r="E14" i="172"/>
  <c r="D14" i="172"/>
  <c r="H17" i="183"/>
  <c r="I17" i="183" s="1"/>
  <c r="G17" i="183"/>
  <c r="E17" i="183"/>
  <c r="D17" i="183"/>
  <c r="H17" i="182"/>
  <c r="I17" i="182" s="1"/>
  <c r="G17" i="182"/>
  <c r="E17" i="182"/>
  <c r="D17" i="182"/>
  <c r="E16" i="183"/>
  <c r="D16" i="183"/>
  <c r="E15" i="183"/>
  <c r="D15" i="183"/>
  <c r="E14" i="183"/>
  <c r="D14" i="183"/>
  <c r="D15" i="182"/>
  <c r="E15" i="182"/>
  <c r="D16" i="182"/>
  <c r="E16" i="182"/>
  <c r="E14" i="182"/>
  <c r="D14" i="182"/>
  <c r="E17" i="177"/>
  <c r="D17" i="177"/>
  <c r="E16" i="177"/>
  <c r="D16" i="177"/>
  <c r="E15" i="177"/>
  <c r="D15" i="177"/>
  <c r="E14" i="177"/>
  <c r="D14" i="177"/>
  <c r="G17" i="166"/>
  <c r="G29" i="198"/>
  <c r="G16" i="168"/>
  <c r="H18" i="136"/>
  <c r="I18" i="136" s="1"/>
  <c r="H17" i="198"/>
  <c r="I17" i="198" s="1"/>
  <c r="H18" i="187"/>
  <c r="I18" i="187" s="1"/>
  <c r="G18" i="187"/>
  <c r="E18" i="187"/>
  <c r="D18" i="187"/>
  <c r="H17" i="187"/>
  <c r="I17" i="187" s="1"/>
  <c r="G17" i="187"/>
  <c r="H16" i="187"/>
  <c r="I16" i="187" s="1"/>
  <c r="G16" i="187"/>
  <c r="G15" i="187"/>
  <c r="H14" i="187"/>
  <c r="I14" i="187" s="1"/>
  <c r="G14" i="187"/>
  <c r="H16" i="183"/>
  <c r="I16" i="183" s="1"/>
  <c r="G16" i="183"/>
  <c r="G15" i="183"/>
  <c r="G14" i="183"/>
  <c r="H16" i="182"/>
  <c r="I16" i="182" s="1"/>
  <c r="G16" i="182"/>
  <c r="G15" i="182"/>
  <c r="H16" i="177"/>
  <c r="I16" i="177" s="1"/>
  <c r="G16" i="177"/>
  <c r="H15" i="177"/>
  <c r="I15" i="177" s="1"/>
  <c r="G15" i="177"/>
  <c r="H14" i="177"/>
  <c r="I14" i="177" s="1"/>
  <c r="G14" i="177"/>
  <c r="H14" i="170"/>
  <c r="I14" i="170" s="1"/>
  <c r="G14" i="170"/>
  <c r="G15" i="168"/>
  <c r="G14" i="168"/>
  <c r="G16" i="166"/>
  <c r="G15" i="166"/>
  <c r="G14" i="166"/>
  <c r="H19" i="136"/>
  <c r="I19" i="136" s="1"/>
  <c r="G19" i="136"/>
  <c r="E19" i="136"/>
  <c r="D19" i="136"/>
  <c r="H17" i="136"/>
  <c r="I17" i="136" s="1"/>
  <c r="G17" i="136"/>
  <c r="H16" i="136"/>
  <c r="I16" i="136" s="1"/>
  <c r="G16" i="136"/>
  <c r="G15" i="136"/>
  <c r="G17" i="129"/>
  <c r="H17" i="129"/>
  <c r="I17" i="129" s="1"/>
  <c r="G18" i="129"/>
  <c r="H18" i="129"/>
  <c r="I18" i="129" s="1"/>
  <c r="G19" i="129"/>
  <c r="H19" i="129"/>
  <c r="I19" i="129" s="1"/>
  <c r="G20" i="129"/>
  <c r="H20" i="129"/>
  <c r="I20" i="129" s="1"/>
  <c r="G21" i="129"/>
  <c r="H21" i="129"/>
  <c r="I21" i="129" s="1"/>
  <c r="G22" i="129"/>
  <c r="H22" i="129"/>
  <c r="I22" i="129" s="1"/>
  <c r="G23" i="129"/>
  <c r="H23" i="129"/>
  <c r="I23" i="129" s="1"/>
  <c r="G24" i="129"/>
  <c r="H24" i="129"/>
  <c r="I24" i="129" s="1"/>
  <c r="G25" i="129"/>
  <c r="H25" i="129"/>
  <c r="I25" i="129" s="1"/>
  <c r="G26" i="129"/>
  <c r="H26" i="129"/>
  <c r="I26" i="129" s="1"/>
  <c r="G27" i="129"/>
  <c r="H27" i="129"/>
  <c r="I27" i="129" s="1"/>
  <c r="G28" i="129"/>
  <c r="H28" i="129"/>
  <c r="I28" i="129" s="1"/>
  <c r="D17" i="129"/>
  <c r="E17" i="129"/>
  <c r="D18" i="129"/>
  <c r="E18" i="129"/>
  <c r="D19" i="129"/>
  <c r="E19" i="129"/>
  <c r="D20" i="129"/>
  <c r="E20" i="129"/>
  <c r="D21" i="129"/>
  <c r="E21" i="129"/>
  <c r="D22" i="129"/>
  <c r="E22" i="129"/>
  <c r="D23" i="129"/>
  <c r="E23" i="129"/>
  <c r="D24" i="129"/>
  <c r="D25" i="129"/>
  <c r="E25" i="129"/>
  <c r="D26" i="129"/>
  <c r="E26" i="129"/>
  <c r="D27" i="129"/>
  <c r="E27" i="129"/>
  <c r="D28" i="129"/>
  <c r="E28" i="129"/>
  <c r="E29" i="129"/>
  <c r="D29" i="129"/>
  <c r="H16" i="129"/>
  <c r="I16" i="129" s="1"/>
  <c r="G16" i="129"/>
  <c r="E16" i="129"/>
  <c r="D16" i="129"/>
  <c r="H15" i="129"/>
  <c r="I15" i="129" s="1"/>
  <c r="G15" i="129"/>
  <c r="E15" i="129"/>
  <c r="D15" i="129"/>
  <c r="H14" i="129"/>
  <c r="I14" i="129" s="1"/>
  <c r="G14" i="129"/>
  <c r="E14" i="129"/>
  <c r="D14" i="129"/>
  <c r="H16" i="172"/>
  <c r="I16" i="172" s="1"/>
  <c r="H14" i="199"/>
  <c r="I14" i="199" s="1"/>
  <c r="H14" i="197"/>
  <c r="I14" i="197" s="1"/>
  <c r="H14" i="166"/>
  <c r="I14" i="166" s="1"/>
  <c r="H17" i="172"/>
  <c r="I17" i="172" s="1"/>
  <c r="H21" i="198"/>
  <c r="I21" i="198" s="1"/>
  <c r="H18" i="172"/>
  <c r="I18" i="172" s="1"/>
  <c r="H15" i="182"/>
  <c r="I15" i="182" s="1"/>
  <c r="H15" i="136"/>
  <c r="I15" i="136" s="1"/>
  <c r="H18" i="198"/>
  <c r="I18" i="198" s="1"/>
  <c r="H17" i="197"/>
  <c r="I17" i="197" s="1"/>
  <c r="N76" i="1"/>
  <c r="G17" i="168"/>
  <c r="N93" i="1"/>
  <c r="J9" i="2"/>
  <c r="J11" i="2" s="1"/>
  <c r="I11" i="2"/>
  <c r="J10" i="2"/>
  <c r="I8" i="2"/>
  <c r="E6" i="2"/>
  <c r="D6" i="2"/>
  <c r="J5" i="2"/>
  <c r="J8" i="2" s="1"/>
  <c r="D5" i="2"/>
  <c r="E5" i="2"/>
  <c r="I26" i="1"/>
  <c r="N26" i="1" s="1"/>
  <c r="I42" i="1"/>
  <c r="I43" i="1"/>
  <c r="G11" i="1"/>
  <c r="L11" i="1" s="1"/>
  <c r="H24" i="198"/>
  <c r="I24" i="198" s="1"/>
  <c r="H16" i="198"/>
  <c r="I16" i="198" s="1"/>
  <c r="H16" i="166"/>
  <c r="I16" i="166" s="1"/>
  <c r="H19" i="198"/>
  <c r="I19" i="198" s="1"/>
  <c r="H16" i="199"/>
  <c r="I16" i="199" s="1"/>
  <c r="H23" i="198"/>
  <c r="I23" i="198" s="1"/>
  <c r="H14" i="172"/>
  <c r="I14" i="172" s="1"/>
  <c r="H15" i="199"/>
  <c r="I15" i="199" s="1"/>
  <c r="H15" i="168"/>
  <c r="H27" i="198"/>
  <c r="I27" i="198" s="1"/>
  <c r="H20" i="198"/>
  <c r="I20" i="198" s="1"/>
  <c r="H17" i="199"/>
  <c r="I17" i="199" s="1"/>
  <c r="H28" i="198"/>
  <c r="I28" i="198" s="1"/>
  <c r="H26" i="198"/>
  <c r="I26" i="198" s="1"/>
  <c r="H25" i="198"/>
  <c r="I25" i="198" s="1"/>
  <c r="H14" i="182"/>
  <c r="I14" i="182" s="1"/>
  <c r="G29" i="129"/>
  <c r="N29" i="1"/>
  <c r="K9" i="2"/>
  <c r="L9" i="2" s="1"/>
  <c r="N46" i="1"/>
  <c r="N81" i="1"/>
  <c r="N27" i="1"/>
  <c r="N65" i="1"/>
  <c r="N71" i="1"/>
  <c r="N90" i="1"/>
  <c r="N82" i="1"/>
  <c r="N74" i="1"/>
  <c r="N86" i="1"/>
  <c r="N68" i="1"/>
  <c r="N84" i="1"/>
  <c r="N45" i="1"/>
  <c r="N138" i="1"/>
  <c r="N57" i="1"/>
  <c r="N56" i="1"/>
  <c r="H22" i="198"/>
  <c r="I22" i="198" s="1"/>
  <c r="K5" i="2"/>
  <c r="L5" i="2" s="1"/>
  <c r="N10" i="1"/>
  <c r="N43" i="1"/>
  <c r="N19" i="1"/>
  <c r="N44" i="1"/>
  <c r="N31" i="1"/>
  <c r="N12" i="1"/>
  <c r="H16" i="168"/>
  <c r="I16" i="168" s="1"/>
  <c r="H29" i="198"/>
  <c r="I29" i="198" s="1"/>
  <c r="H17" i="168"/>
  <c r="I17" i="168" s="1"/>
  <c r="H29" i="129"/>
  <c r="I29" i="129" s="1"/>
  <c r="H17" i="166"/>
  <c r="I17" i="166" s="1"/>
  <c r="H16" i="213"/>
  <c r="I16" i="213" s="1"/>
  <c r="N17" i="1"/>
  <c r="I13" i="1"/>
  <c r="I16" i="1"/>
  <c r="I36" i="198"/>
  <c r="J37" i="198" s="1"/>
  <c r="I25" i="197"/>
  <c r="I24" i="168"/>
  <c r="I25" i="166"/>
  <c r="I26" i="187"/>
  <c r="J18" i="2" l="1"/>
  <c r="L50" i="2"/>
  <c r="K50" i="2" s="1"/>
  <c r="G18" i="213"/>
  <c r="I25" i="203"/>
  <c r="O185" i="57"/>
  <c r="O186" i="57"/>
  <c r="I16" i="208"/>
  <c r="I15" i="168"/>
  <c r="G23" i="201"/>
  <c r="J6" i="2"/>
  <c r="J35" i="2"/>
  <c r="G17" i="214"/>
  <c r="G15" i="213"/>
  <c r="G14" i="213"/>
  <c r="G17" i="212"/>
  <c r="J55" i="2"/>
  <c r="J56" i="2" s="1"/>
  <c r="G17" i="204" s="1"/>
  <c r="G14" i="208"/>
  <c r="G14" i="201"/>
  <c r="G16" i="202"/>
  <c r="G25" i="202"/>
  <c r="G16" i="205"/>
  <c r="G23" i="208"/>
  <c r="G14" i="172"/>
  <c r="J14" i="2"/>
  <c r="J15" i="2"/>
  <c r="G24" i="201"/>
  <c r="G14" i="212"/>
  <c r="G14" i="214"/>
  <c r="J34" i="2"/>
  <c r="G17" i="177"/>
  <c r="G14" i="200"/>
  <c r="G15" i="201"/>
  <c r="G21" i="213"/>
  <c r="G21" i="212"/>
  <c r="G21" i="214"/>
  <c r="G24" i="202"/>
  <c r="G17" i="213"/>
  <c r="G22" i="214"/>
  <c r="G22" i="213"/>
  <c r="G22" i="212"/>
  <c r="L23" i="2"/>
  <c r="K23" i="2" s="1"/>
  <c r="H14" i="205"/>
  <c r="I14" i="205" s="1"/>
  <c r="H20" i="205"/>
  <c r="I20" i="205" s="1"/>
  <c r="N166" i="1"/>
  <c r="N66" i="1"/>
  <c r="I15" i="204"/>
  <c r="N13" i="1"/>
  <c r="H14" i="203"/>
  <c r="I14" i="203" s="1"/>
  <c r="G22" i="202"/>
  <c r="N40" i="1"/>
  <c r="H23" i="200"/>
  <c r="I23" i="200" s="1"/>
  <c r="O181" i="57"/>
  <c r="I27" i="136"/>
  <c r="I26" i="212"/>
  <c r="I23" i="170"/>
  <c r="I27" i="200"/>
  <c r="I28" i="194"/>
  <c r="O829" i="57"/>
  <c r="I26" i="214"/>
  <c r="I26" i="213"/>
  <c r="F17" i="202"/>
  <c r="F19" i="202"/>
  <c r="H15" i="194"/>
  <c r="I15" i="194" s="1"/>
  <c r="N146" i="1"/>
  <c r="N37" i="1"/>
  <c r="N67" i="1"/>
  <c r="N69" i="1"/>
  <c r="H15" i="203"/>
  <c r="I15" i="203" s="1"/>
  <c r="N88" i="1"/>
  <c r="H14" i="208"/>
  <c r="I14" i="208" s="1"/>
  <c r="K10" i="2"/>
  <c r="L10" i="2" s="1"/>
  <c r="L11" i="2" s="1"/>
  <c r="K11" i="2" s="1"/>
  <c r="F858" i="57" s="1"/>
  <c r="G858" i="57" s="1"/>
  <c r="H855" i="57" s="1"/>
  <c r="I855" i="57" s="1"/>
  <c r="N91" i="1"/>
  <c r="N116" i="1"/>
  <c r="K69" i="2"/>
  <c r="L69" i="2" s="1"/>
  <c r="L73" i="2" s="1"/>
  <c r="K73" i="2" s="1"/>
  <c r="H15" i="172"/>
  <c r="I15" i="172" s="1"/>
  <c r="I28" i="172" s="1"/>
  <c r="K38" i="2"/>
  <c r="L38" i="2" s="1"/>
  <c r="H23" i="201"/>
  <c r="I23" i="201" s="1"/>
  <c r="H24" i="194"/>
  <c r="I24" i="194" s="1"/>
  <c r="H15" i="200"/>
  <c r="I15" i="200" s="1"/>
  <c r="H14" i="201"/>
  <c r="I14" i="201" s="1"/>
  <c r="H25" i="202"/>
  <c r="I25" i="202" s="1"/>
  <c r="H16" i="205"/>
  <c r="I16" i="205" s="1"/>
  <c r="H14" i="168"/>
  <c r="I14" i="168" s="1"/>
  <c r="N102" i="1"/>
  <c r="N155" i="1"/>
  <c r="N143" i="1"/>
  <c r="H14" i="202"/>
  <c r="I14" i="202" s="1"/>
  <c r="H22" i="201"/>
  <c r="I22" i="201" s="1"/>
  <c r="N123" i="1"/>
  <c r="H15" i="198"/>
  <c r="I15" i="198" s="1"/>
  <c r="N75" i="1"/>
  <c r="N87" i="1"/>
  <c r="N89" i="1"/>
  <c r="N78" i="1"/>
  <c r="N139" i="1"/>
  <c r="K52" i="2"/>
  <c r="L52" i="2" s="1"/>
  <c r="L53" i="2" s="1"/>
  <c r="K53" i="2" s="1"/>
  <c r="H17" i="203" s="1"/>
  <c r="I17" i="203" s="1"/>
  <c r="N158" i="1"/>
  <c r="K36" i="2"/>
  <c r="L36" i="2" s="1"/>
  <c r="K55" i="2"/>
  <c r="L55" i="2" s="1"/>
  <c r="N148" i="1"/>
  <c r="H24" i="202"/>
  <c r="I24" i="202" s="1"/>
  <c r="N150" i="1"/>
  <c r="K6" i="2"/>
  <c r="L6" i="2" s="1"/>
  <c r="L8" i="2" s="1"/>
  <c r="H15" i="197"/>
  <c r="I15" i="197" s="1"/>
  <c r="H17" i="194"/>
  <c r="I17" i="194" s="1"/>
  <c r="H19" i="202"/>
  <c r="K31" i="2"/>
  <c r="L31" i="2" s="1"/>
  <c r="H24" i="208"/>
  <c r="I24" i="208" s="1"/>
  <c r="H23" i="208"/>
  <c r="I23" i="208" s="1"/>
  <c r="N77" i="1"/>
  <c r="N30" i="1"/>
  <c r="H15" i="187"/>
  <c r="I15" i="187" s="1"/>
  <c r="I25" i="187" s="1"/>
  <c r="J26" i="187" s="1"/>
  <c r="N151" i="1"/>
  <c r="H18" i="200"/>
  <c r="I18" i="200" s="1"/>
  <c r="N85" i="1"/>
  <c r="H15" i="183"/>
  <c r="I15" i="183" s="1"/>
  <c r="L14" i="2"/>
  <c r="K14" i="2" s="1"/>
  <c r="F924" i="57" s="1"/>
  <c r="G924" i="57" s="1"/>
  <c r="K30" i="2"/>
  <c r="L30" i="2" s="1"/>
  <c r="N18" i="1"/>
  <c r="N63" i="1"/>
  <c r="H15" i="166"/>
  <c r="I15" i="166" s="1"/>
  <c r="I24" i="166" s="1"/>
  <c r="J25" i="166" s="1"/>
  <c r="H14" i="198"/>
  <c r="I14" i="198" s="1"/>
  <c r="K16" i="2"/>
  <c r="L16" i="2" s="1"/>
  <c r="H19" i="213" s="1"/>
  <c r="I19" i="213" s="1"/>
  <c r="L47" i="2"/>
  <c r="K47" i="2" s="1"/>
  <c r="L27" i="2"/>
  <c r="K27" i="2" s="1"/>
  <c r="J58" i="2"/>
  <c r="G20" i="202"/>
  <c r="G18" i="212"/>
  <c r="G19" i="214"/>
  <c r="K34" i="2"/>
  <c r="L34" i="2" s="1"/>
  <c r="N83" i="1"/>
  <c r="N80" i="1"/>
  <c r="N11" i="1"/>
  <c r="H21" i="206"/>
  <c r="I21" i="206" s="1"/>
  <c r="H21" i="205"/>
  <c r="I21" i="205" s="1"/>
  <c r="N167" i="1"/>
  <c r="N73" i="1"/>
  <c r="N16" i="1"/>
  <c r="H15" i="214"/>
  <c r="I15" i="214" s="1"/>
  <c r="H15" i="212"/>
  <c r="I15" i="212" s="1"/>
  <c r="H17" i="208"/>
  <c r="I17" i="208" s="1"/>
  <c r="N8" i="1"/>
  <c r="H18" i="202"/>
  <c r="H17" i="201"/>
  <c r="I17" i="201" s="1"/>
  <c r="N36" i="1"/>
  <c r="H14" i="200"/>
  <c r="I14" i="200" s="1"/>
  <c r="N140" i="1"/>
  <c r="H14" i="183"/>
  <c r="K14" i="183" s="1"/>
  <c r="H14" i="194"/>
  <c r="I14" i="194" s="1"/>
  <c r="H16" i="202"/>
  <c r="I16" i="202" s="1"/>
  <c r="H15" i="201"/>
  <c r="I15" i="201" s="1"/>
  <c r="K54" i="2"/>
  <c r="L54" i="2" s="1"/>
  <c r="F20" i="202"/>
  <c r="N61" i="1"/>
  <c r="N79" i="1"/>
  <c r="I15" i="202"/>
  <c r="H17" i="202"/>
  <c r="N72" i="1"/>
  <c r="H20" i="206"/>
  <c r="I20" i="206" s="1"/>
  <c r="N94" i="1"/>
  <c r="K35" i="2"/>
  <c r="L35" i="2" s="1"/>
  <c r="F18" i="202"/>
  <c r="N6" i="1"/>
  <c r="N152" i="1"/>
  <c r="H16" i="197"/>
  <c r="I16" i="197" s="1"/>
  <c r="H15" i="206"/>
  <c r="I15" i="206" s="1"/>
  <c r="H18" i="194"/>
  <c r="I18" i="194" s="1"/>
  <c r="N47" i="1"/>
  <c r="H22" i="214"/>
  <c r="I22" i="214" s="1"/>
  <c r="H22" i="213"/>
  <c r="I22" i="213" s="1"/>
  <c r="H22" i="212"/>
  <c r="I22" i="212" s="1"/>
  <c r="H21" i="212"/>
  <c r="I21" i="212" s="1"/>
  <c r="H21" i="214"/>
  <c r="I21" i="214" s="1"/>
  <c r="H21" i="213"/>
  <c r="I21" i="213" s="1"/>
  <c r="H14" i="206"/>
  <c r="I14" i="206" s="1"/>
  <c r="H17" i="212"/>
  <c r="I17" i="212" s="1"/>
  <c r="H15" i="213"/>
  <c r="I15" i="213" s="1"/>
  <c r="H17" i="214"/>
  <c r="I17" i="214" s="1"/>
  <c r="H16" i="212"/>
  <c r="I16" i="212" s="1"/>
  <c r="H16" i="214"/>
  <c r="I16" i="214" s="1"/>
  <c r="H16" i="201"/>
  <c r="I16" i="201" s="1"/>
  <c r="H14" i="214"/>
  <c r="I14" i="214" s="1"/>
  <c r="H14" i="212"/>
  <c r="I14" i="212" s="1"/>
  <c r="H14" i="213"/>
  <c r="I14" i="213" s="1"/>
  <c r="I18" i="208"/>
  <c r="O202" i="57"/>
  <c r="I29" i="172"/>
  <c r="O183" i="57"/>
  <c r="O141" i="57"/>
  <c r="G19" i="200"/>
  <c r="G20" i="194"/>
  <c r="I24" i="211"/>
  <c r="J25" i="211" s="1"/>
  <c r="E36" i="129"/>
  <c r="I36" i="129"/>
  <c r="J37" i="129" s="1"/>
  <c r="G18" i="197"/>
  <c r="G19" i="208"/>
  <c r="G19" i="201"/>
  <c r="E24" i="182"/>
  <c r="I24" i="182"/>
  <c r="J25" i="182" s="1"/>
  <c r="I24" i="207"/>
  <c r="J25" i="207" s="1"/>
  <c r="E24" i="207"/>
  <c r="E24" i="211"/>
  <c r="G19" i="213" l="1"/>
  <c r="I924" i="57"/>
  <c r="G921" i="57" s="1"/>
  <c r="H924" i="57"/>
  <c r="F921" i="57" s="1"/>
  <c r="F76" i="218" s="1"/>
  <c r="L18" i="2"/>
  <c r="H20" i="214"/>
  <c r="I20" i="214" s="1"/>
  <c r="H22" i="202"/>
  <c r="I22" i="202" s="1"/>
  <c r="F850" i="57"/>
  <c r="G850" i="57" s="1"/>
  <c r="H847" i="57" s="1"/>
  <c r="I847" i="57" s="1"/>
  <c r="G844" i="57" s="1"/>
  <c r="F816" i="57"/>
  <c r="G816" i="57" s="1"/>
  <c r="F803" i="57"/>
  <c r="G803" i="57" s="1"/>
  <c r="F540" i="57"/>
  <c r="G540" i="57" s="1"/>
  <c r="F627" i="57"/>
  <c r="G627" i="57" s="1"/>
  <c r="F663" i="57"/>
  <c r="G663" i="57" s="1"/>
  <c r="F736" i="57"/>
  <c r="G736" i="57" s="1"/>
  <c r="F718" i="57"/>
  <c r="G718" i="57" s="1"/>
  <c r="F772" i="57"/>
  <c r="G772" i="57" s="1"/>
  <c r="F609" i="57"/>
  <c r="G609" i="57" s="1"/>
  <c r="F645" i="57"/>
  <c r="G645" i="57" s="1"/>
  <c r="F556" i="57"/>
  <c r="G556" i="57" s="1"/>
  <c r="F508" i="57"/>
  <c r="G508" i="57" s="1"/>
  <c r="F754" i="57"/>
  <c r="G754" i="57" s="1"/>
  <c r="F524" i="57"/>
  <c r="G524" i="57" s="1"/>
  <c r="F790" i="57"/>
  <c r="G790" i="57" s="1"/>
  <c r="F557" i="57"/>
  <c r="G557" i="57" s="1"/>
  <c r="F509" i="57"/>
  <c r="G509" i="57" s="1"/>
  <c r="F525" i="57"/>
  <c r="G525" i="57" s="1"/>
  <c r="F541" i="57"/>
  <c r="G541" i="57" s="1"/>
  <c r="F493" i="57"/>
  <c r="G493" i="57" s="1"/>
  <c r="F476" i="57"/>
  <c r="G476" i="57" s="1"/>
  <c r="F646" i="57"/>
  <c r="G646" i="57" s="1"/>
  <c r="F664" i="57"/>
  <c r="G664" i="57" s="1"/>
  <c r="F592" i="57"/>
  <c r="G592" i="57" s="1"/>
  <c r="F610" i="57"/>
  <c r="G610" i="57" s="1"/>
  <c r="F628" i="57"/>
  <c r="G628" i="57" s="1"/>
  <c r="F573" i="57"/>
  <c r="G573" i="57" s="1"/>
  <c r="I23" i="168"/>
  <c r="J24" i="168" s="1"/>
  <c r="F439" i="57"/>
  <c r="G439" i="57" s="1"/>
  <c r="F403" i="57"/>
  <c r="G403" i="57" s="1"/>
  <c r="F457" i="57"/>
  <c r="G457" i="57" s="1"/>
  <c r="F421" i="57"/>
  <c r="G421" i="57" s="1"/>
  <c r="F295" i="57"/>
  <c r="G295" i="57" s="1"/>
  <c r="F349" i="57"/>
  <c r="G349" i="57" s="1"/>
  <c r="F331" i="57"/>
  <c r="G331" i="57" s="1"/>
  <c r="F277" i="57"/>
  <c r="G277" i="57" s="1"/>
  <c r="F313" i="57"/>
  <c r="G313" i="57" s="1"/>
  <c r="F258" i="57"/>
  <c r="G258" i="57" s="1"/>
  <c r="F312" i="57"/>
  <c r="G312" i="57" s="1"/>
  <c r="F348" i="57"/>
  <c r="G348" i="57" s="1"/>
  <c r="F294" i="57"/>
  <c r="G294" i="57" s="1"/>
  <c r="F330" i="57"/>
  <c r="G330" i="57" s="1"/>
  <c r="F193" i="57"/>
  <c r="G193" i="57" s="1"/>
  <c r="F225" i="57"/>
  <c r="G225" i="57" s="1"/>
  <c r="F241" i="57"/>
  <c r="G241" i="57" s="1"/>
  <c r="F209" i="57"/>
  <c r="G209" i="57" s="1"/>
  <c r="F113" i="57"/>
  <c r="G113" i="57" s="1"/>
  <c r="F125" i="57"/>
  <c r="G125" i="57" s="1"/>
  <c r="F147" i="57"/>
  <c r="G147" i="57" s="1"/>
  <c r="F136" i="57"/>
  <c r="G136" i="57" s="1"/>
  <c r="G21" i="201"/>
  <c r="F194" i="57"/>
  <c r="G194" i="57" s="1"/>
  <c r="F210" i="57"/>
  <c r="G210" i="57" s="1"/>
  <c r="F226" i="57"/>
  <c r="G226" i="57" s="1"/>
  <c r="F242" i="57"/>
  <c r="G242" i="57" s="1"/>
  <c r="F178" i="57"/>
  <c r="G178" i="57" s="1"/>
  <c r="F161" i="57"/>
  <c r="G161" i="57" s="1"/>
  <c r="H154" i="57" s="1"/>
  <c r="H18" i="213"/>
  <c r="I18" i="213" s="1"/>
  <c r="E25" i="213" s="1"/>
  <c r="F69" i="57"/>
  <c r="G69" i="57" s="1"/>
  <c r="F59" i="57"/>
  <c r="G59" i="57" s="1"/>
  <c r="F49" i="57"/>
  <c r="G49" i="57" s="1"/>
  <c r="F38" i="57"/>
  <c r="G38" i="57" s="1"/>
  <c r="G21" i="202"/>
  <c r="G21" i="208"/>
  <c r="G15" i="170"/>
  <c r="G14" i="136"/>
  <c r="E24" i="205"/>
  <c r="I19" i="202"/>
  <c r="H14" i="136"/>
  <c r="I14" i="136" s="1"/>
  <c r="I24" i="203"/>
  <c r="H21" i="194"/>
  <c r="I21" i="194" s="1"/>
  <c r="H20" i="201"/>
  <c r="I20" i="201" s="1"/>
  <c r="H20" i="200"/>
  <c r="I20" i="200" s="1"/>
  <c r="H20" i="208"/>
  <c r="I20" i="208" s="1"/>
  <c r="J29" i="172"/>
  <c r="I17" i="202"/>
  <c r="E36" i="198"/>
  <c r="L33" i="2"/>
  <c r="K33" i="2" s="1"/>
  <c r="I24" i="205"/>
  <c r="J25" i="205" s="1"/>
  <c r="I14" i="183"/>
  <c r="E24" i="183" s="1"/>
  <c r="E23" i="168"/>
  <c r="E28" i="172"/>
  <c r="E24" i="166"/>
  <c r="I18" i="202"/>
  <c r="L56" i="2"/>
  <c r="K56" i="2" s="1"/>
  <c r="H17" i="204" s="1"/>
  <c r="I17" i="204" s="1"/>
  <c r="I24" i="204" s="1"/>
  <c r="J25" i="204" s="1"/>
  <c r="L39" i="2"/>
  <c r="K39" i="2" s="1"/>
  <c r="I24" i="206"/>
  <c r="E24" i="206"/>
  <c r="E25" i="187"/>
  <c r="E24" i="203"/>
  <c r="H20" i="194"/>
  <c r="I20" i="194" s="1"/>
  <c r="O201" i="57"/>
  <c r="O140" i="57"/>
  <c r="O830" i="57"/>
  <c r="H19" i="200"/>
  <c r="I19" i="200" s="1"/>
  <c r="H21" i="208"/>
  <c r="I21" i="208" s="1"/>
  <c r="H21" i="201"/>
  <c r="I21" i="201" s="1"/>
  <c r="H21" i="202"/>
  <c r="I21" i="202" s="1"/>
  <c r="H15" i="170"/>
  <c r="I15" i="170" s="1"/>
  <c r="I921" i="57" l="1"/>
  <c r="I76" i="218" s="1"/>
  <c r="G76" i="218"/>
  <c r="H921" i="57"/>
  <c r="H76" i="218" s="1"/>
  <c r="L921" i="57"/>
  <c r="L76" i="218" s="1"/>
  <c r="K58" i="2"/>
  <c r="L58" i="2" s="1"/>
  <c r="L64" i="2" s="1"/>
  <c r="K64" i="2" s="1"/>
  <c r="H21" i="199" s="1"/>
  <c r="I21" i="199" s="1"/>
  <c r="E28" i="199" s="1"/>
  <c r="F935" i="57"/>
  <c r="G935" i="57" s="1"/>
  <c r="I844" i="57"/>
  <c r="I66" i="218" s="1"/>
  <c r="G66" i="218"/>
  <c r="H65" i="57"/>
  <c r="F62" i="57" s="1"/>
  <c r="F16" i="218" s="1"/>
  <c r="I65" i="57"/>
  <c r="G62" i="57" s="1"/>
  <c r="H55" i="57"/>
  <c r="F52" i="57" s="1"/>
  <c r="F15" i="218" s="1"/>
  <c r="I55" i="57"/>
  <c r="G52" i="57" s="1"/>
  <c r="I45" i="57"/>
  <c r="G42" i="57" s="1"/>
  <c r="H45" i="57"/>
  <c r="F42" i="57" s="1"/>
  <c r="F14" i="218" s="1"/>
  <c r="H34" i="57"/>
  <c r="F31" i="57" s="1"/>
  <c r="F13" i="218" s="1"/>
  <c r="I34" i="57"/>
  <c r="G31" i="57" s="1"/>
  <c r="F844" i="57"/>
  <c r="F66" i="218" s="1"/>
  <c r="G852" i="57"/>
  <c r="F852" i="57"/>
  <c r="F67" i="218" s="1"/>
  <c r="F817" i="57"/>
  <c r="G817" i="57" s="1"/>
  <c r="H810" i="57" s="1"/>
  <c r="F804" i="57"/>
  <c r="G804" i="57" s="1"/>
  <c r="H797" i="57" s="1"/>
  <c r="I502" i="57"/>
  <c r="G499" i="57" s="1"/>
  <c r="H502" i="57"/>
  <c r="F499" i="57" s="1"/>
  <c r="F43" i="218" s="1"/>
  <c r="I566" i="57"/>
  <c r="G563" i="57" s="1"/>
  <c r="H566" i="57"/>
  <c r="F563" i="57" s="1"/>
  <c r="F47" i="218" s="1"/>
  <c r="H639" i="57"/>
  <c r="F636" i="57" s="1"/>
  <c r="F51" i="218" s="1"/>
  <c r="I639" i="57"/>
  <c r="G636" i="57" s="1"/>
  <c r="F791" i="57"/>
  <c r="G791" i="57" s="1"/>
  <c r="H784" i="57" s="1"/>
  <c r="I603" i="57"/>
  <c r="G600" i="57" s="1"/>
  <c r="H603" i="57"/>
  <c r="F600" i="57" s="1"/>
  <c r="F49" i="218" s="1"/>
  <c r="H584" i="57"/>
  <c r="F581" i="57" s="1"/>
  <c r="F48" i="218" s="1"/>
  <c r="I584" i="57"/>
  <c r="G581" i="57" s="1"/>
  <c r="H518" i="57"/>
  <c r="F515" i="57" s="1"/>
  <c r="F44" i="218" s="1"/>
  <c r="I518" i="57"/>
  <c r="G515" i="57" s="1"/>
  <c r="I550" i="57"/>
  <c r="G547" i="57" s="1"/>
  <c r="H550" i="57"/>
  <c r="F547" i="57" s="1"/>
  <c r="F46" i="218" s="1"/>
  <c r="H657" i="57"/>
  <c r="F654" i="57" s="1"/>
  <c r="F52" i="218" s="1"/>
  <c r="I657" i="57"/>
  <c r="G654" i="57" s="1"/>
  <c r="H469" i="57"/>
  <c r="F466" i="57" s="1"/>
  <c r="F41" i="218" s="1"/>
  <c r="I469" i="57"/>
  <c r="G466" i="57" s="1"/>
  <c r="H621" i="57"/>
  <c r="F618" i="57" s="1"/>
  <c r="F50" i="218" s="1"/>
  <c r="I621" i="57"/>
  <c r="G618" i="57" s="1"/>
  <c r="I485" i="57"/>
  <c r="G482" i="57" s="1"/>
  <c r="H485" i="57"/>
  <c r="F482" i="57" s="1"/>
  <c r="F42" i="218" s="1"/>
  <c r="H534" i="57"/>
  <c r="F531" i="57" s="1"/>
  <c r="F45" i="218" s="1"/>
  <c r="I534" i="57"/>
  <c r="G531" i="57" s="1"/>
  <c r="I25" i="213"/>
  <c r="J26" i="213" s="1"/>
  <c r="I342" i="57"/>
  <c r="G339" i="57" s="1"/>
  <c r="H342" i="57"/>
  <c r="F339" i="57" s="1"/>
  <c r="F34" i="218" s="1"/>
  <c r="H288" i="57"/>
  <c r="F285" i="57" s="1"/>
  <c r="F31" i="218" s="1"/>
  <c r="I288" i="57"/>
  <c r="G285" i="57" s="1"/>
  <c r="I306" i="57"/>
  <c r="G303" i="57" s="1"/>
  <c r="H306" i="57"/>
  <c r="F303" i="57" s="1"/>
  <c r="F32" i="218" s="1"/>
  <c r="I132" i="57"/>
  <c r="G129" i="57" s="1"/>
  <c r="H132" i="57"/>
  <c r="F129" i="57" s="1"/>
  <c r="F21" i="218" s="1"/>
  <c r="H251" i="57"/>
  <c r="F248" i="57" s="1"/>
  <c r="F29" i="218" s="1"/>
  <c r="I251" i="57"/>
  <c r="G248" i="57" s="1"/>
  <c r="H324" i="57"/>
  <c r="F321" i="57" s="1"/>
  <c r="F33" i="218" s="1"/>
  <c r="I324" i="57"/>
  <c r="G321" i="57" s="1"/>
  <c r="I121" i="57"/>
  <c r="G118" i="57" s="1"/>
  <c r="H121" i="57"/>
  <c r="F118" i="57" s="1"/>
  <c r="F20" i="218" s="1"/>
  <c r="I269" i="57"/>
  <c r="G266" i="57" s="1"/>
  <c r="H269" i="57"/>
  <c r="F266" i="57" s="1"/>
  <c r="F30" i="218" s="1"/>
  <c r="I109" i="57"/>
  <c r="G106" i="57" s="1"/>
  <c r="H109" i="57"/>
  <c r="F106" i="57" s="1"/>
  <c r="F19" i="218" s="1"/>
  <c r="H143" i="57"/>
  <c r="F140" i="57" s="1"/>
  <c r="F22" i="218" s="1"/>
  <c r="I143" i="57"/>
  <c r="G140" i="57" s="1"/>
  <c r="H235" i="57"/>
  <c r="F232" i="57" s="1"/>
  <c r="F28" i="218" s="1"/>
  <c r="I235" i="57"/>
  <c r="G232" i="57" s="1"/>
  <c r="H219" i="57"/>
  <c r="F216" i="57" s="1"/>
  <c r="F27" i="218" s="1"/>
  <c r="I219" i="57"/>
  <c r="G216" i="57" s="1"/>
  <c r="I170" i="57"/>
  <c r="G167" i="57" s="1"/>
  <c r="H170" i="57"/>
  <c r="F167" i="57" s="1"/>
  <c r="F24" i="218" s="1"/>
  <c r="I203" i="57"/>
  <c r="G200" i="57" s="1"/>
  <c r="H203" i="57"/>
  <c r="F200" i="57" s="1"/>
  <c r="F26" i="218" s="1"/>
  <c r="H187" i="57"/>
  <c r="F184" i="57" s="1"/>
  <c r="F25" i="218" s="1"/>
  <c r="I187" i="57"/>
  <c r="G184" i="57" s="1"/>
  <c r="I154" i="57"/>
  <c r="G151" i="57" s="1"/>
  <c r="F151" i="57"/>
  <c r="F23" i="218" s="1"/>
  <c r="D10" i="57"/>
  <c r="D11" i="218" s="1"/>
  <c r="J25" i="203"/>
  <c r="I26" i="136"/>
  <c r="E26" i="136"/>
  <c r="E27" i="194"/>
  <c r="I24" i="183"/>
  <c r="H17" i="177"/>
  <c r="I17" i="177" s="1"/>
  <c r="E24" i="177" s="1"/>
  <c r="E24" i="204"/>
  <c r="H20" i="202"/>
  <c r="I20" i="202" s="1"/>
  <c r="I26" i="202" s="1"/>
  <c r="J27" i="202" s="1"/>
  <c r="H19" i="201"/>
  <c r="I19" i="201" s="1"/>
  <c r="I25" i="201" s="1"/>
  <c r="J26" i="201" s="1"/>
  <c r="H19" i="208"/>
  <c r="I19" i="208" s="1"/>
  <c r="I26" i="208" s="1"/>
  <c r="J27" i="208" s="1"/>
  <c r="H18" i="197"/>
  <c r="I18" i="197" s="1"/>
  <c r="E24" i="197" s="1"/>
  <c r="I27" i="194"/>
  <c r="J25" i="206"/>
  <c r="H19" i="214"/>
  <c r="I19" i="214" s="1"/>
  <c r="H18" i="212"/>
  <c r="I18" i="212" s="1"/>
  <c r="I26" i="200"/>
  <c r="J27" i="200" s="1"/>
  <c r="E26" i="200"/>
  <c r="I22" i="170"/>
  <c r="E22" i="170"/>
  <c r="O184" i="57"/>
  <c r="I28" i="199" l="1"/>
  <c r="J29" i="199" s="1"/>
  <c r="H929" i="57"/>
  <c r="F926" i="57" s="1"/>
  <c r="F77" i="218" s="1"/>
  <c r="I929" i="57"/>
  <c r="G926" i="57" s="1"/>
  <c r="I52" i="57"/>
  <c r="I15" i="218" s="1"/>
  <c r="G15" i="218"/>
  <c r="I466" i="57"/>
  <c r="I41" i="218" s="1"/>
  <c r="G41" i="218"/>
  <c r="I654" i="57"/>
  <c r="I52" i="218" s="1"/>
  <c r="G52" i="218"/>
  <c r="I151" i="57"/>
  <c r="I23" i="218" s="1"/>
  <c r="G23" i="218"/>
  <c r="I118" i="57"/>
  <c r="I20" i="218" s="1"/>
  <c r="G20" i="218"/>
  <c r="I321" i="57"/>
  <c r="I33" i="218" s="1"/>
  <c r="G33" i="218"/>
  <c r="I499" i="57"/>
  <c r="I43" i="218" s="1"/>
  <c r="G43" i="218"/>
  <c r="I248" i="57"/>
  <c r="I29" i="218" s="1"/>
  <c r="G29" i="218"/>
  <c r="I167" i="57"/>
  <c r="I24" i="218" s="1"/>
  <c r="G24" i="218"/>
  <c r="I285" i="57"/>
  <c r="I31" i="218" s="1"/>
  <c r="G31" i="218"/>
  <c r="I339" i="57"/>
  <c r="I34" i="218" s="1"/>
  <c r="G34" i="218"/>
  <c r="I106" i="57"/>
  <c r="I19" i="218" s="1"/>
  <c r="G19" i="218"/>
  <c r="I531" i="57"/>
  <c r="I45" i="218" s="1"/>
  <c r="G45" i="218"/>
  <c r="I303" i="57"/>
  <c r="I32" i="218" s="1"/>
  <c r="G32" i="218"/>
  <c r="I581" i="57"/>
  <c r="I48" i="218" s="1"/>
  <c r="G48" i="218"/>
  <c r="I636" i="57"/>
  <c r="I51" i="218" s="1"/>
  <c r="G51" i="218"/>
  <c r="I618" i="57"/>
  <c r="I50" i="218" s="1"/>
  <c r="G50" i="218"/>
  <c r="I184" i="57"/>
  <c r="I25" i="218" s="1"/>
  <c r="G25" i="218"/>
  <c r="I200" i="57"/>
  <c r="I26" i="218" s="1"/>
  <c r="G26" i="218"/>
  <c r="I129" i="57"/>
  <c r="I21" i="218" s="1"/>
  <c r="G21" i="218"/>
  <c r="I852" i="57"/>
  <c r="I67" i="218" s="1"/>
  <c r="G67" i="218"/>
  <c r="I216" i="57"/>
  <c r="I27" i="218" s="1"/>
  <c r="G27" i="218"/>
  <c r="I31" i="57"/>
  <c r="I13" i="218" s="1"/>
  <c r="G13" i="218"/>
  <c r="I140" i="57"/>
  <c r="I22" i="218" s="1"/>
  <c r="G22" i="218"/>
  <c r="I266" i="57"/>
  <c r="I30" i="218" s="1"/>
  <c r="G30" i="218"/>
  <c r="I563" i="57"/>
  <c r="I47" i="218" s="1"/>
  <c r="G47" i="218"/>
  <c r="I547" i="57"/>
  <c r="I46" i="218" s="1"/>
  <c r="G46" i="218"/>
  <c r="I515" i="57"/>
  <c r="I44" i="218" s="1"/>
  <c r="G44" i="218"/>
  <c r="I232" i="57"/>
  <c r="I28" i="218" s="1"/>
  <c r="G28" i="218"/>
  <c r="I42" i="57"/>
  <c r="I14" i="218" s="1"/>
  <c r="G14" i="218"/>
  <c r="I62" i="57"/>
  <c r="I16" i="218" s="1"/>
  <c r="G16" i="218"/>
  <c r="I600" i="57"/>
  <c r="I49" i="218" s="1"/>
  <c r="G49" i="218"/>
  <c r="I482" i="57"/>
  <c r="I42" i="218" s="1"/>
  <c r="G42" i="218"/>
  <c r="H852" i="57"/>
  <c r="H67" i="218" s="1"/>
  <c r="L852" i="57"/>
  <c r="L67" i="218" s="1"/>
  <c r="H844" i="57"/>
  <c r="H66" i="218" s="1"/>
  <c r="L844" i="57"/>
  <c r="L66" i="218" s="1"/>
  <c r="I797" i="57"/>
  <c r="G794" i="57" s="1"/>
  <c r="F794" i="57"/>
  <c r="F60" i="218" s="1"/>
  <c r="F807" i="57"/>
  <c r="F61" i="218" s="1"/>
  <c r="I810" i="57"/>
  <c r="G807" i="57" s="1"/>
  <c r="F781" i="57"/>
  <c r="F59" i="218" s="1"/>
  <c r="I784" i="57"/>
  <c r="G781" i="57" s="1"/>
  <c r="L482" i="57"/>
  <c r="L42" i="218" s="1"/>
  <c r="H482" i="57"/>
  <c r="H42" i="218" s="1"/>
  <c r="H636" i="57"/>
  <c r="H51" i="218" s="1"/>
  <c r="L636" i="57"/>
  <c r="L51" i="218" s="1"/>
  <c r="H563" i="57"/>
  <c r="H47" i="218" s="1"/>
  <c r="L563" i="57"/>
  <c r="L47" i="218" s="1"/>
  <c r="H618" i="57"/>
  <c r="H50" i="218" s="1"/>
  <c r="L618" i="57"/>
  <c r="L50" i="218" s="1"/>
  <c r="H600" i="57"/>
  <c r="H49" i="218" s="1"/>
  <c r="L600" i="57"/>
  <c r="L49" i="218" s="1"/>
  <c r="H499" i="57"/>
  <c r="H43" i="218" s="1"/>
  <c r="L499" i="57"/>
  <c r="L43" i="218" s="1"/>
  <c r="H531" i="57"/>
  <c r="H45" i="218" s="1"/>
  <c r="L531" i="57"/>
  <c r="L45" i="218" s="1"/>
  <c r="H466" i="57"/>
  <c r="H41" i="218" s="1"/>
  <c r="L466" i="57"/>
  <c r="L41" i="218" s="1"/>
  <c r="H581" i="57"/>
  <c r="H48" i="218" s="1"/>
  <c r="L581" i="57"/>
  <c r="L48" i="218" s="1"/>
  <c r="H547" i="57"/>
  <c r="H46" i="218" s="1"/>
  <c r="L547" i="57"/>
  <c r="L46" i="218" s="1"/>
  <c r="H515" i="57"/>
  <c r="H44" i="218" s="1"/>
  <c r="L515" i="57"/>
  <c r="L44" i="218" s="1"/>
  <c r="H654" i="57"/>
  <c r="H52" i="218" s="1"/>
  <c r="L654" i="57"/>
  <c r="L52" i="218" s="1"/>
  <c r="H248" i="57"/>
  <c r="H29" i="218" s="1"/>
  <c r="L248" i="57"/>
  <c r="L29" i="218" s="1"/>
  <c r="L106" i="57"/>
  <c r="L19" i="218" s="1"/>
  <c r="H106" i="57"/>
  <c r="H19" i="218" s="1"/>
  <c r="H303" i="57"/>
  <c r="H32" i="218" s="1"/>
  <c r="L303" i="57"/>
  <c r="L32" i="218" s="1"/>
  <c r="L140" i="57"/>
  <c r="L22" i="218" s="1"/>
  <c r="H140" i="57"/>
  <c r="H22" i="218" s="1"/>
  <c r="H321" i="57"/>
  <c r="H33" i="218" s="1"/>
  <c r="L321" i="57"/>
  <c r="L33" i="218" s="1"/>
  <c r="H266" i="57"/>
  <c r="H30" i="218" s="1"/>
  <c r="L266" i="57"/>
  <c r="H285" i="57"/>
  <c r="H31" i="218" s="1"/>
  <c r="L285" i="57"/>
  <c r="L31" i="218" s="1"/>
  <c r="L118" i="57"/>
  <c r="L20" i="218" s="1"/>
  <c r="H118" i="57"/>
  <c r="H20" i="218" s="1"/>
  <c r="H339" i="57"/>
  <c r="H34" i="218" s="1"/>
  <c r="L339" i="57"/>
  <c r="L34" i="218" s="1"/>
  <c r="L129" i="57"/>
  <c r="L21" i="218" s="1"/>
  <c r="H129" i="57"/>
  <c r="H21" i="218" s="1"/>
  <c r="L151" i="57"/>
  <c r="L23" i="218" s="1"/>
  <c r="H151" i="57"/>
  <c r="H23" i="218" s="1"/>
  <c r="H200" i="57"/>
  <c r="H26" i="218" s="1"/>
  <c r="L200" i="57"/>
  <c r="L26" i="218" s="1"/>
  <c r="H167" i="57"/>
  <c r="H24" i="218" s="1"/>
  <c r="L167" i="57"/>
  <c r="L24" i="218" s="1"/>
  <c r="H216" i="57"/>
  <c r="H27" i="218" s="1"/>
  <c r="L216" i="57"/>
  <c r="L27" i="218" s="1"/>
  <c r="H184" i="57"/>
  <c r="H25" i="218" s="1"/>
  <c r="L184" i="57"/>
  <c r="L25" i="218" s="1"/>
  <c r="H232" i="57"/>
  <c r="H28" i="218" s="1"/>
  <c r="L232" i="57"/>
  <c r="L28" i="218" s="1"/>
  <c r="H62" i="57"/>
  <c r="H16" i="218" s="1"/>
  <c r="L62" i="57"/>
  <c r="L16" i="218" s="1"/>
  <c r="H52" i="57"/>
  <c r="H15" i="218" s="1"/>
  <c r="L52" i="57"/>
  <c r="L15" i="218" s="1"/>
  <c r="H42" i="57"/>
  <c r="H14" i="218" s="1"/>
  <c r="L42" i="57"/>
  <c r="L14" i="218" s="1"/>
  <c r="L31" i="57"/>
  <c r="H31" i="57"/>
  <c r="H13" i="218" s="1"/>
  <c r="J25" i="183"/>
  <c r="J27" i="136"/>
  <c r="O131" i="57"/>
  <c r="I24" i="197"/>
  <c r="J25" i="197" s="1"/>
  <c r="J28" i="194"/>
  <c r="O139" i="57"/>
  <c r="I24" i="177"/>
  <c r="J25" i="177" s="1"/>
  <c r="I25" i="212"/>
  <c r="J26" i="212" s="1"/>
  <c r="E25" i="212"/>
  <c r="I25" i="214"/>
  <c r="J26" i="214" s="1"/>
  <c r="E25" i="214"/>
  <c r="J23" i="170"/>
  <c r="L30" i="218" l="1"/>
  <c r="AE85" i="216"/>
  <c r="I926" i="57"/>
  <c r="I77" i="218" s="1"/>
  <c r="G77" i="218"/>
  <c r="H926" i="57"/>
  <c r="H77" i="218" s="1"/>
  <c r="L926" i="57"/>
  <c r="L77" i="218" s="1"/>
  <c r="I781" i="57"/>
  <c r="I59" i="218" s="1"/>
  <c r="G59" i="218"/>
  <c r="I807" i="57"/>
  <c r="I61" i="218" s="1"/>
  <c r="G61" i="218"/>
  <c r="I794" i="57"/>
  <c r="I60" i="218" s="1"/>
  <c r="G60" i="218"/>
  <c r="L13" i="218"/>
  <c r="H807" i="57"/>
  <c r="H61" i="218" s="1"/>
  <c r="L807" i="57"/>
  <c r="L61" i="218" s="1"/>
  <c r="L794" i="57"/>
  <c r="H794" i="57"/>
  <c r="H60" i="218" s="1"/>
  <c r="H781" i="57"/>
  <c r="H59" i="218" s="1"/>
  <c r="L781" i="57"/>
  <c r="L59" i="218" s="1"/>
  <c r="O206" i="57"/>
  <c r="O196" i="57"/>
  <c r="O195" i="57"/>
  <c r="O207" i="57"/>
  <c r="L60" i="218" l="1"/>
  <c r="O187" i="57"/>
  <c r="O133" i="57"/>
  <c r="O136" i="57"/>
  <c r="O137" i="57"/>
  <c r="O132" i="57"/>
  <c r="O192" i="57"/>
  <c r="O211" i="57"/>
  <c r="O832" i="57"/>
  <c r="O215" i="57"/>
  <c r="O212" i="57"/>
  <c r="O191" i="57"/>
  <c r="O216" i="57"/>
  <c r="O205" i="57"/>
  <c r="O204" i="57"/>
  <c r="O194" i="57"/>
  <c r="O209" i="57"/>
  <c r="O193" i="57"/>
  <c r="O197" i="57"/>
  <c r="O200" i="57"/>
  <c r="O208" i="57"/>
  <c r="O199" i="57"/>
  <c r="O210" i="57"/>
  <c r="O831" i="57"/>
  <c r="O130" i="57"/>
  <c r="O213" i="57"/>
  <c r="O214" i="57"/>
  <c r="O189" i="57"/>
  <c r="O134" i="57"/>
  <c r="O190" i="57"/>
  <c r="O203" i="57"/>
  <c r="O135" i="57"/>
  <c r="O20" i="57" l="1"/>
  <c r="O10" i="57"/>
  <c r="L34" i="57"/>
  <c r="L154" i="57"/>
  <c r="AE8" i="216" l="1"/>
  <c r="K85" i="2"/>
  <c r="K83" i="2" l="1"/>
  <c r="L83" i="2" s="1"/>
  <c r="K75" i="2"/>
  <c r="L75" i="2" s="1"/>
  <c r="L74" i="2" s="1"/>
  <c r="K74" i="2" s="1"/>
  <c r="F440" i="57" l="1"/>
  <c r="G440" i="57" s="1"/>
  <c r="F682" i="57"/>
  <c r="G682" i="57" s="1"/>
  <c r="F404" i="57"/>
  <c r="G404" i="57" s="1"/>
  <c r="F367" i="57"/>
  <c r="G367" i="57" s="1"/>
  <c r="F719" i="57"/>
  <c r="G719" i="57" s="1"/>
  <c r="F386" i="57"/>
  <c r="G386" i="57" s="1"/>
  <c r="F823" i="57"/>
  <c r="G823" i="57" s="1"/>
  <c r="H823" i="57" s="1"/>
  <c r="F422" i="57"/>
  <c r="G422" i="57" s="1"/>
  <c r="F773" i="57"/>
  <c r="G773" i="57" s="1"/>
  <c r="F701" i="57"/>
  <c r="G701" i="57" s="1"/>
  <c r="F737" i="57"/>
  <c r="G737" i="57" s="1"/>
  <c r="F458" i="57"/>
  <c r="G458" i="57" s="1"/>
  <c r="F755" i="57"/>
  <c r="G755" i="57" s="1"/>
  <c r="I693" i="57" l="1"/>
  <c r="G690" i="57" s="1"/>
  <c r="H693" i="57"/>
  <c r="F690" i="57" s="1"/>
  <c r="I823" i="57"/>
  <c r="G820" i="57" s="1"/>
  <c r="F820" i="57"/>
  <c r="I378" i="57"/>
  <c r="G375" i="57" s="1"/>
  <c r="H378" i="57"/>
  <c r="F375" i="57" s="1"/>
  <c r="H766" i="57"/>
  <c r="F763" i="57" s="1"/>
  <c r="I766" i="57"/>
  <c r="G763" i="57" s="1"/>
  <c r="I397" i="57"/>
  <c r="G394" i="57" s="1"/>
  <c r="H397" i="57"/>
  <c r="F394" i="57" s="1"/>
  <c r="I415" i="57"/>
  <c r="G412" i="57" s="1"/>
  <c r="H415" i="57"/>
  <c r="F412" i="57" s="1"/>
  <c r="H360" i="57"/>
  <c r="F357" i="57" s="1"/>
  <c r="I360" i="57"/>
  <c r="G357" i="57" s="1"/>
  <c r="I675" i="57"/>
  <c r="G672" i="57" s="1"/>
  <c r="H675" i="57"/>
  <c r="F672" i="57" s="1"/>
  <c r="H712" i="57"/>
  <c r="F709" i="57" s="1"/>
  <c r="I712" i="57"/>
  <c r="G709" i="57" s="1"/>
  <c r="H748" i="57"/>
  <c r="F745" i="57" s="1"/>
  <c r="I748" i="57"/>
  <c r="G745" i="57" s="1"/>
  <c r="I433" i="57"/>
  <c r="G430" i="57" s="1"/>
  <c r="H433" i="57"/>
  <c r="F430" i="57" s="1"/>
  <c r="H451" i="57"/>
  <c r="F448" i="57" s="1"/>
  <c r="I451" i="57"/>
  <c r="G448" i="57" s="1"/>
  <c r="H730" i="57"/>
  <c r="F727" i="57" s="1"/>
  <c r="I730" i="57"/>
  <c r="G727" i="57" s="1"/>
  <c r="I412" i="57" l="1"/>
  <c r="I38" i="218" s="1"/>
  <c r="G38" i="218"/>
  <c r="F37" i="218"/>
  <c r="L394" i="57"/>
  <c r="L37" i="218" s="1"/>
  <c r="H394" i="57"/>
  <c r="H37" i="218" s="1"/>
  <c r="I430" i="57"/>
  <c r="I39" i="218" s="1"/>
  <c r="G39" i="218"/>
  <c r="I394" i="57"/>
  <c r="I37" i="218" s="1"/>
  <c r="G37" i="218"/>
  <c r="I745" i="57"/>
  <c r="I57" i="218" s="1"/>
  <c r="G57" i="218"/>
  <c r="I763" i="57"/>
  <c r="I58" i="218" s="1"/>
  <c r="G58" i="218"/>
  <c r="F38" i="218"/>
  <c r="L412" i="57"/>
  <c r="L38" i="218" s="1"/>
  <c r="H412" i="57"/>
  <c r="H38" i="218" s="1"/>
  <c r="F39" i="218"/>
  <c r="L430" i="57"/>
  <c r="L39" i="218" s="1"/>
  <c r="H430" i="57"/>
  <c r="H39" i="218" s="1"/>
  <c r="F57" i="218"/>
  <c r="L745" i="57"/>
  <c r="L57" i="218" s="1"/>
  <c r="H745" i="57"/>
  <c r="H57" i="218" s="1"/>
  <c r="H375" i="57"/>
  <c r="H36" i="218" s="1"/>
  <c r="F36" i="218"/>
  <c r="L375" i="57"/>
  <c r="I375" i="57"/>
  <c r="I36" i="218" s="1"/>
  <c r="G36" i="218"/>
  <c r="F53" i="218"/>
  <c r="L672" i="57"/>
  <c r="L53" i="218" s="1"/>
  <c r="H672" i="57"/>
  <c r="H53" i="218" s="1"/>
  <c r="F62" i="218"/>
  <c r="H820" i="57"/>
  <c r="H62" i="218" s="1"/>
  <c r="L820" i="57"/>
  <c r="G40" i="218"/>
  <c r="I448" i="57"/>
  <c r="I40" i="218" s="1"/>
  <c r="G53" i="218"/>
  <c r="I672" i="57"/>
  <c r="I53" i="218" s="1"/>
  <c r="I820" i="57"/>
  <c r="I62" i="218" s="1"/>
  <c r="G62" i="218"/>
  <c r="F40" i="218"/>
  <c r="H448" i="57"/>
  <c r="H40" i="218" s="1"/>
  <c r="L448" i="57"/>
  <c r="L40" i="218" s="1"/>
  <c r="F58" i="218"/>
  <c r="H763" i="57"/>
  <c r="H58" i="218" s="1"/>
  <c r="L763" i="57"/>
  <c r="L58" i="218" s="1"/>
  <c r="G55" i="218"/>
  <c r="I709" i="57"/>
  <c r="I55" i="218" s="1"/>
  <c r="F55" i="218"/>
  <c r="H709" i="57"/>
  <c r="H55" i="218" s="1"/>
  <c r="L709" i="57"/>
  <c r="L55" i="218" s="1"/>
  <c r="I727" i="57"/>
  <c r="I56" i="218" s="1"/>
  <c r="G56" i="218"/>
  <c r="G35" i="218"/>
  <c r="I357" i="57"/>
  <c r="I35" i="218" s="1"/>
  <c r="F54" i="218"/>
  <c r="H690" i="57"/>
  <c r="H54" i="218" s="1"/>
  <c r="L690" i="57"/>
  <c r="L54" i="218" s="1"/>
  <c r="F56" i="218"/>
  <c r="H727" i="57"/>
  <c r="H56" i="218" s="1"/>
  <c r="L727" i="57"/>
  <c r="L56" i="218" s="1"/>
  <c r="F35" i="218"/>
  <c r="L357" i="57"/>
  <c r="L35" i="218" s="1"/>
  <c r="H357" i="57"/>
  <c r="H35" i="218" s="1"/>
  <c r="I690" i="57"/>
  <c r="I54" i="218" s="1"/>
  <c r="G54" i="218"/>
  <c r="K79" i="2"/>
  <c r="L84" i="2" s="1"/>
  <c r="M79" i="2" s="1"/>
  <c r="L62" i="218" l="1"/>
  <c r="AE102" i="216"/>
  <c r="L36" i="218"/>
  <c r="AE101" i="216"/>
  <c r="F829" i="57"/>
  <c r="G829" i="57" s="1"/>
  <c r="H829" i="57" s="1"/>
  <c r="F826" i="57" s="1"/>
  <c r="H826" i="57" s="1"/>
  <c r="H63" i="218" s="1"/>
  <c r="F63" i="218" l="1"/>
  <c r="I829" i="57"/>
  <c r="G826" i="57" s="1"/>
  <c r="L826" i="57" s="1"/>
  <c r="L63" i="218" l="1"/>
  <c r="L9" i="218" s="1"/>
  <c r="M5" i="218" s="1"/>
  <c r="AE100" i="216"/>
  <c r="L8" i="57"/>
  <c r="G63" i="218"/>
  <c r="I826" i="57"/>
  <c r="I63" i="218" s="1"/>
  <c r="M6" i="218" s="1"/>
</calcChain>
</file>

<file path=xl/sharedStrings.xml><?xml version="1.0" encoding="utf-8"?>
<sst xmlns="http://schemas.openxmlformats.org/spreadsheetml/2006/main" count="7145" uniqueCount="2121">
  <si>
    <t>ITEM CODE</t>
    <phoneticPr fontId="2" type="noConversion"/>
  </si>
  <si>
    <t xml:space="preserve">ITEM DESCRIPTION </t>
    <phoneticPr fontId="2" type="noConversion"/>
  </si>
  <si>
    <t>KOREAN</t>
    <phoneticPr fontId="2" type="noConversion"/>
  </si>
  <si>
    <t xml:space="preserve">ENGLISH </t>
    <phoneticPr fontId="2" type="noConversion"/>
  </si>
  <si>
    <t>P001</t>
    <phoneticPr fontId="2" type="noConversion"/>
  </si>
  <si>
    <t>올리브치킨용배터믹스</t>
    <phoneticPr fontId="2" type="noConversion"/>
  </si>
  <si>
    <t>Battering Powder Mix</t>
    <phoneticPr fontId="2" type="noConversion"/>
  </si>
  <si>
    <t>P002</t>
    <phoneticPr fontId="2" type="noConversion"/>
  </si>
  <si>
    <t>허니갈릭용배터믹스</t>
    <phoneticPr fontId="2" type="noConversion"/>
  </si>
  <si>
    <t xml:space="preserve">Battering Powder Mix C </t>
    <phoneticPr fontId="2" type="noConversion"/>
  </si>
  <si>
    <t>P003</t>
  </si>
  <si>
    <t>올리브치킨용마리네이드</t>
    <phoneticPr fontId="2" type="noConversion"/>
  </si>
  <si>
    <t xml:space="preserve">Marinade Powder Mix </t>
    <phoneticPr fontId="2" type="noConversion"/>
  </si>
  <si>
    <t>P004</t>
  </si>
  <si>
    <t>핫앤크리스피마리네이드</t>
    <phoneticPr fontId="2" type="noConversion"/>
  </si>
  <si>
    <t xml:space="preserve">Crispy Marinade S </t>
    <phoneticPr fontId="2" type="noConversion"/>
  </si>
  <si>
    <t>P005</t>
  </si>
  <si>
    <t>염장제</t>
    <phoneticPr fontId="2" type="noConversion"/>
  </si>
  <si>
    <t>Pickle Solution Powder Mix</t>
    <phoneticPr fontId="2" type="noConversion"/>
  </si>
  <si>
    <t>P006</t>
  </si>
  <si>
    <t>크런치버터시즈닝</t>
    <phoneticPr fontId="2" type="noConversion"/>
  </si>
  <si>
    <t>Crunch Butter Seasoning S</t>
    <phoneticPr fontId="2" type="noConversion"/>
  </si>
  <si>
    <t>P007</t>
  </si>
  <si>
    <t>저크시즈닝</t>
    <phoneticPr fontId="2" type="noConversion"/>
  </si>
  <si>
    <t xml:space="preserve">Jerk Barbeque Seasoning </t>
    <phoneticPr fontId="2" type="noConversion"/>
  </si>
  <si>
    <t>스모크치킨시즈닝</t>
    <phoneticPr fontId="2" type="noConversion"/>
  </si>
  <si>
    <t>Smoke Chicken Seasoning</t>
    <phoneticPr fontId="2" type="noConversion"/>
  </si>
  <si>
    <t>P009</t>
  </si>
  <si>
    <t>블랙페퍼시즈닝</t>
    <phoneticPr fontId="2" type="noConversion"/>
  </si>
  <si>
    <t xml:space="preserve">Black Pepper Seasoning </t>
    <phoneticPr fontId="2" type="noConversion"/>
  </si>
  <si>
    <t>P010</t>
  </si>
  <si>
    <t>치즈맛시즈닝</t>
    <phoneticPr fontId="2" type="noConversion"/>
  </si>
  <si>
    <t xml:space="preserve">Cheese Taste Seasoning Mix </t>
    <phoneticPr fontId="2" type="noConversion"/>
  </si>
  <si>
    <t>P011</t>
  </si>
  <si>
    <t>치킨무파우더</t>
    <phoneticPr fontId="2" type="noConversion"/>
  </si>
  <si>
    <t xml:space="preserve">SAF Powder </t>
    <phoneticPr fontId="2" type="noConversion"/>
  </si>
  <si>
    <t>BB윙스마리네이드</t>
    <phoneticPr fontId="2" type="noConversion"/>
  </si>
  <si>
    <t>BB Wings Marinade Powder Mix</t>
    <phoneticPr fontId="2" type="noConversion"/>
  </si>
  <si>
    <t>P013</t>
  </si>
  <si>
    <t>속안심시즈닝</t>
    <phoneticPr fontId="2" type="noConversion"/>
  </si>
  <si>
    <t>Marinade No.5</t>
    <phoneticPr fontId="2" type="noConversion"/>
  </si>
  <si>
    <t>P014</t>
  </si>
  <si>
    <t>레드착착시즈닝</t>
    <phoneticPr fontId="2" type="noConversion"/>
  </si>
  <si>
    <t>Red Spicy Seasoning</t>
    <phoneticPr fontId="2" type="noConversion"/>
  </si>
  <si>
    <t>P015</t>
  </si>
  <si>
    <t>P016</t>
  </si>
  <si>
    <t>Frying Powder</t>
    <phoneticPr fontId="2" type="noConversion"/>
  </si>
  <si>
    <t>P/L</t>
    <phoneticPr fontId="2" type="noConversion"/>
  </si>
  <si>
    <t>UOM</t>
    <phoneticPr fontId="2" type="noConversion"/>
  </si>
  <si>
    <t>YIELD</t>
    <phoneticPr fontId="2" type="noConversion"/>
  </si>
  <si>
    <t>5kg*4pack</t>
    <phoneticPr fontId="2" type="noConversion"/>
  </si>
  <si>
    <t>2kg*10pack</t>
    <phoneticPr fontId="2" type="noConversion"/>
  </si>
  <si>
    <t>1kg*20pack</t>
    <phoneticPr fontId="2" type="noConversion"/>
  </si>
  <si>
    <t>500*15pack</t>
    <phoneticPr fontId="2" type="noConversion"/>
  </si>
  <si>
    <t>10kg/pack</t>
    <phoneticPr fontId="2" type="noConversion"/>
  </si>
  <si>
    <t>PACKING &amp; UNIT PRICE(P1)</t>
    <phoneticPr fontId="2" type="noConversion"/>
  </si>
  <si>
    <t>FS PRICE(P3)</t>
    <phoneticPr fontId="2" type="noConversion"/>
  </si>
  <si>
    <t>MARGIN(%)</t>
    <phoneticPr fontId="2" type="noConversion"/>
  </si>
  <si>
    <t>UNIT PRICE</t>
    <phoneticPr fontId="2" type="noConversion"/>
  </si>
  <si>
    <t>Unit</t>
  </si>
  <si>
    <t>Unit</t>
    <phoneticPr fontId="2" type="noConversion"/>
  </si>
  <si>
    <t>g</t>
    <phoneticPr fontId="2" type="noConversion"/>
  </si>
  <si>
    <t xml:space="preserve">MASTER SHEET </t>
    <phoneticPr fontId="2" type="noConversion"/>
  </si>
  <si>
    <t>S004</t>
  </si>
  <si>
    <t>S005</t>
  </si>
  <si>
    <t>S007</t>
  </si>
  <si>
    <t>S008</t>
  </si>
  <si>
    <t>S012</t>
  </si>
  <si>
    <t>S013</t>
  </si>
  <si>
    <t>시크릿양념소스</t>
    <phoneticPr fontId="2" type="noConversion"/>
  </si>
  <si>
    <t>bbq Secret Chicken Spicy Sauce</t>
    <phoneticPr fontId="2" type="noConversion"/>
  </si>
  <si>
    <t>극한왕갈비소스</t>
    <phoneticPr fontId="2" type="noConversion"/>
  </si>
  <si>
    <t>Galbi Flavour Sauce Mix</t>
    <phoneticPr fontId="2" type="noConversion"/>
  </si>
  <si>
    <t>통다리바베큐소스</t>
    <phoneticPr fontId="2" type="noConversion"/>
  </si>
  <si>
    <t>Jerk Barbeque Sauce</t>
    <phoneticPr fontId="2" type="noConversion"/>
  </si>
  <si>
    <t>스모크소스</t>
    <phoneticPr fontId="2" type="noConversion"/>
  </si>
  <si>
    <t>Smoke Sauce</t>
    <phoneticPr fontId="2" type="noConversion"/>
  </si>
  <si>
    <t>꼬꼬칸풍소스</t>
    <phoneticPr fontId="2" type="noConversion"/>
  </si>
  <si>
    <t>KP Sauce</t>
    <phoneticPr fontId="2" type="noConversion"/>
  </si>
  <si>
    <t>소이갈릭용소스</t>
    <phoneticPr fontId="2" type="noConversion"/>
  </si>
  <si>
    <t>Garlic Flavour Soy Sauce</t>
    <phoneticPr fontId="2" type="noConversion"/>
  </si>
  <si>
    <t>빙초산</t>
    <phoneticPr fontId="2" type="noConversion"/>
  </si>
  <si>
    <t>Acetic Acid</t>
    <phoneticPr fontId="2" type="noConversion"/>
  </si>
  <si>
    <t>파인마요소스</t>
    <phoneticPr fontId="2" type="noConversion"/>
  </si>
  <si>
    <t>Pine Mayonaisse Sauce</t>
    <phoneticPr fontId="2" type="noConversion"/>
  </si>
  <si>
    <t>빠리간장소스</t>
    <phoneticPr fontId="2" type="noConversion"/>
  </si>
  <si>
    <t>Deri Sauce Mix(P_Type)</t>
    <phoneticPr fontId="2" type="noConversion"/>
  </si>
  <si>
    <t>켓첩</t>
    <phoneticPr fontId="2" type="noConversion"/>
  </si>
  <si>
    <t>Ketchup</t>
    <phoneticPr fontId="2" type="noConversion"/>
  </si>
  <si>
    <t>매운양념소스</t>
    <phoneticPr fontId="2" type="noConversion"/>
  </si>
  <si>
    <t>Chinese</t>
    <phoneticPr fontId="2" type="noConversion"/>
  </si>
  <si>
    <t>발사믹드레싱</t>
    <phoneticPr fontId="2" type="noConversion"/>
  </si>
  <si>
    <t>Balsamic Dressing</t>
    <phoneticPr fontId="2" type="noConversion"/>
  </si>
  <si>
    <t>토마토스파게티소스</t>
    <phoneticPr fontId="2" type="noConversion"/>
  </si>
  <si>
    <t>Tomato Spaghetti Sauce</t>
    <phoneticPr fontId="2" type="noConversion"/>
  </si>
  <si>
    <t>신올떡볶이소스</t>
    <phoneticPr fontId="2" type="noConversion"/>
  </si>
  <si>
    <t>Shin Alltokkbokki Sauce</t>
    <phoneticPr fontId="2" type="noConversion"/>
  </si>
  <si>
    <t>굴소스</t>
    <phoneticPr fontId="2" type="noConversion"/>
  </si>
  <si>
    <t>Oyster Sauce</t>
    <phoneticPr fontId="2" type="noConversion"/>
  </si>
  <si>
    <t>고추장</t>
    <phoneticPr fontId="2" type="noConversion"/>
  </si>
  <si>
    <t>Hot Pepper paste</t>
    <phoneticPr fontId="2" type="noConversion"/>
  </si>
  <si>
    <t>불고기소스</t>
    <phoneticPr fontId="2" type="noConversion"/>
  </si>
  <si>
    <t>카라멜색소</t>
    <phoneticPr fontId="2" type="noConversion"/>
  </si>
  <si>
    <t>멸치액젓</t>
    <phoneticPr fontId="2" type="noConversion"/>
  </si>
  <si>
    <t>고추기름</t>
    <phoneticPr fontId="2" type="noConversion"/>
  </si>
  <si>
    <t>혼다시</t>
    <phoneticPr fontId="2" type="noConversion"/>
  </si>
  <si>
    <t>시저드레싱</t>
    <phoneticPr fontId="2" type="noConversion"/>
  </si>
  <si>
    <t>오리엔탈드레싱</t>
    <phoneticPr fontId="2" type="noConversion"/>
  </si>
  <si>
    <t>발사믹크림소스</t>
    <phoneticPr fontId="2" type="noConversion"/>
  </si>
  <si>
    <t>bbq스테이크소스</t>
    <phoneticPr fontId="2" type="noConversion"/>
  </si>
  <si>
    <t>머시룸뒥셀소스</t>
    <phoneticPr fontId="2" type="noConversion"/>
  </si>
  <si>
    <t>치폴레소스</t>
    <phoneticPr fontId="2" type="noConversion"/>
  </si>
  <si>
    <t>테리야키소스</t>
    <phoneticPr fontId="2" type="noConversion"/>
  </si>
  <si>
    <t>사우전아일랜드드레싱</t>
    <phoneticPr fontId="2" type="noConversion"/>
  </si>
  <si>
    <t>스리라차소스</t>
    <phoneticPr fontId="2" type="noConversion"/>
  </si>
  <si>
    <t>피자소스</t>
    <phoneticPr fontId="2" type="noConversion"/>
  </si>
  <si>
    <t>허니유자드레싱</t>
    <phoneticPr fontId="2" type="noConversion"/>
  </si>
  <si>
    <t>고르곤졸라소스</t>
    <phoneticPr fontId="2" type="noConversion"/>
  </si>
  <si>
    <t>유자드레싱</t>
    <phoneticPr fontId="2" type="noConversion"/>
  </si>
  <si>
    <t>허니디핑소스(1kg)</t>
    <phoneticPr fontId="2" type="noConversion"/>
  </si>
  <si>
    <t>웨지스포테이토소스</t>
    <phoneticPr fontId="2" type="noConversion"/>
  </si>
  <si>
    <t>화이트스위트소스</t>
    <phoneticPr fontId="2" type="noConversion"/>
  </si>
  <si>
    <t>스모크오일</t>
    <phoneticPr fontId="2" type="noConversion"/>
  </si>
  <si>
    <t>매운 극한 왕갈비 소스</t>
    <phoneticPr fontId="2" type="noConversion"/>
  </si>
  <si>
    <t>S015</t>
  </si>
  <si>
    <t>S016</t>
  </si>
  <si>
    <t>S017</t>
  </si>
  <si>
    <t>S018</t>
  </si>
  <si>
    <t>S020</t>
  </si>
  <si>
    <t>S022</t>
  </si>
  <si>
    <t>S024</t>
  </si>
  <si>
    <t>S025</t>
  </si>
  <si>
    <t>S026</t>
  </si>
  <si>
    <t>S027</t>
  </si>
  <si>
    <t>S029</t>
  </si>
  <si>
    <t>S031</t>
  </si>
  <si>
    <t>S032</t>
  </si>
  <si>
    <t>S033</t>
  </si>
  <si>
    <t>S034</t>
  </si>
  <si>
    <t>S039</t>
  </si>
  <si>
    <t>S040</t>
  </si>
  <si>
    <t>S041</t>
  </si>
  <si>
    <t>S042</t>
  </si>
  <si>
    <t>Soy Sauce</t>
    <phoneticPr fontId="2" type="noConversion"/>
  </si>
  <si>
    <t>Bulgogi Sauce</t>
    <phoneticPr fontId="2" type="noConversion"/>
  </si>
  <si>
    <t>Caramel Food colour</t>
    <phoneticPr fontId="2" type="noConversion"/>
  </si>
  <si>
    <t>Anchovy Fish Sauce</t>
    <phoneticPr fontId="2" type="noConversion"/>
  </si>
  <si>
    <t>Red Pepper Flavoured Oil</t>
    <phoneticPr fontId="2" type="noConversion"/>
  </si>
  <si>
    <t>Hondashi Soup Stock</t>
    <phoneticPr fontId="2" type="noConversion"/>
  </si>
  <si>
    <t>Caesar Dressing</t>
    <phoneticPr fontId="2" type="noConversion"/>
  </si>
  <si>
    <t>Oriental Dressing</t>
    <phoneticPr fontId="2" type="noConversion"/>
  </si>
  <si>
    <t>Balsamic Cream Sauce</t>
    <phoneticPr fontId="2" type="noConversion"/>
  </si>
  <si>
    <t>bbq Steak Sauce</t>
    <phoneticPr fontId="2" type="noConversion"/>
  </si>
  <si>
    <t>Mushroom Duxelle Sauce</t>
    <phoneticPr fontId="2" type="noConversion"/>
  </si>
  <si>
    <t>Chipotle Sauce</t>
    <phoneticPr fontId="2" type="noConversion"/>
  </si>
  <si>
    <t>Teriyaki Sauce</t>
    <phoneticPr fontId="2" type="noConversion"/>
  </si>
  <si>
    <t>Thousand Island Dressing</t>
    <phoneticPr fontId="2" type="noConversion"/>
  </si>
  <si>
    <t>Sriracha Sauce</t>
    <phoneticPr fontId="2" type="noConversion"/>
  </si>
  <si>
    <t>Honey Citrus Dressing</t>
    <phoneticPr fontId="2" type="noConversion"/>
  </si>
  <si>
    <t>Honey Dipping Sauce</t>
    <phoneticPr fontId="2" type="noConversion"/>
  </si>
  <si>
    <t xml:space="preserve">Citrus Dressing </t>
    <phoneticPr fontId="2" type="noConversion"/>
  </si>
  <si>
    <t>Gorgonzola Sauce</t>
    <phoneticPr fontId="2" type="noConversion"/>
  </si>
  <si>
    <t>Wedges Potato Sauce</t>
    <phoneticPr fontId="2" type="noConversion"/>
  </si>
  <si>
    <t>Smoke Oil</t>
    <phoneticPr fontId="2" type="noConversion"/>
  </si>
  <si>
    <t>Hot Ultimate wang Galbi Sauce</t>
    <phoneticPr fontId="2" type="noConversion"/>
  </si>
  <si>
    <t>White Sweet Sauce</t>
    <phoneticPr fontId="2" type="noConversion"/>
  </si>
  <si>
    <t>2kg*5pack</t>
    <phoneticPr fontId="2" type="noConversion"/>
  </si>
  <si>
    <t>2kg*6pack</t>
    <phoneticPr fontId="2" type="noConversion"/>
  </si>
  <si>
    <t>S043</t>
  </si>
  <si>
    <t>S044</t>
  </si>
  <si>
    <t>S045</t>
  </si>
  <si>
    <t>S046</t>
  </si>
  <si>
    <t>S047</t>
  </si>
  <si>
    <t>S048</t>
  </si>
  <si>
    <t>*2024-04-01 최초고시환율</t>
    <phoneticPr fontId="2" type="noConversion"/>
  </si>
  <si>
    <t>PRICE($)</t>
    <phoneticPr fontId="2" type="noConversion"/>
  </si>
  <si>
    <t>허니갈릭용소스</t>
    <phoneticPr fontId="2" type="noConversion"/>
  </si>
  <si>
    <t>치킨강정소스</t>
    <phoneticPr fontId="2" type="noConversion"/>
  </si>
  <si>
    <t>마라핫소스</t>
    <phoneticPr fontId="2" type="noConversion"/>
  </si>
  <si>
    <t>S049</t>
  </si>
  <si>
    <t>S050</t>
  </si>
  <si>
    <t>S051</t>
  </si>
  <si>
    <t>S052</t>
  </si>
  <si>
    <t>올리브마리네이드마일드</t>
    <phoneticPr fontId="2" type="noConversion"/>
  </si>
  <si>
    <t>P002</t>
  </si>
  <si>
    <t>P017</t>
  </si>
  <si>
    <t>P018</t>
  </si>
  <si>
    <t>자메이카소떡만나소스</t>
    <phoneticPr fontId="2" type="noConversion"/>
  </si>
  <si>
    <t>Hot Spicy Sauce</t>
    <phoneticPr fontId="2" type="noConversion"/>
  </si>
  <si>
    <t xml:space="preserve">*매월 고시환율 변경 </t>
    <phoneticPr fontId="2" type="noConversion"/>
  </si>
  <si>
    <t>P019</t>
  </si>
  <si>
    <t>P020</t>
  </si>
  <si>
    <t>파우더 신규 추가시 사용</t>
    <phoneticPr fontId="2" type="noConversion"/>
  </si>
  <si>
    <t>부분육 (엉치)</t>
    <phoneticPr fontId="2" type="noConversion"/>
  </si>
  <si>
    <t>Injected Partial Chicken (Thigh)</t>
    <phoneticPr fontId="2" type="noConversion"/>
  </si>
  <si>
    <t>Injected Partial Chicken (Breast)</t>
    <phoneticPr fontId="2" type="noConversion"/>
  </si>
  <si>
    <t>부분육 (가슴)</t>
    <phoneticPr fontId="2" type="noConversion"/>
  </si>
  <si>
    <t>부분육 (날개)</t>
    <phoneticPr fontId="2" type="noConversion"/>
  </si>
  <si>
    <t>Injected Partial Chicken (Wing)</t>
    <phoneticPr fontId="2" type="noConversion"/>
  </si>
  <si>
    <t>부분육 (다리)</t>
    <phoneticPr fontId="2" type="noConversion"/>
  </si>
  <si>
    <t>Injected Partial Chicken (Drumstick)</t>
    <phoneticPr fontId="2" type="noConversion"/>
  </si>
  <si>
    <t>순살원육 (엉치)</t>
    <phoneticPr fontId="2" type="noConversion"/>
  </si>
  <si>
    <t>Boneless Chicken (Thigh)</t>
    <phoneticPr fontId="2" type="noConversion"/>
  </si>
  <si>
    <t>순살원육 (가슴)</t>
    <phoneticPr fontId="2" type="noConversion"/>
  </si>
  <si>
    <t>Boneless Chicken (Breast)</t>
    <phoneticPr fontId="2" type="noConversion"/>
  </si>
  <si>
    <t>홀윙(3 Joint)</t>
    <phoneticPr fontId="2" type="noConversion"/>
  </si>
  <si>
    <t>Whole Wing (3joint)</t>
    <phoneticPr fontId="2" type="noConversion"/>
  </si>
  <si>
    <t>M002</t>
    <phoneticPr fontId="2" type="noConversion"/>
  </si>
  <si>
    <t>M003</t>
  </si>
  <si>
    <t>M004</t>
  </si>
  <si>
    <t>M005</t>
  </si>
  <si>
    <t>M006</t>
  </si>
  <si>
    <t>M007</t>
  </si>
  <si>
    <t>M008</t>
  </si>
  <si>
    <t>M010</t>
  </si>
  <si>
    <t>M011</t>
  </si>
  <si>
    <t>M012</t>
  </si>
  <si>
    <t>장각</t>
    <phoneticPr fontId="2" type="noConversion"/>
  </si>
  <si>
    <t xml:space="preserve">Whole Leg </t>
    <phoneticPr fontId="2" type="noConversion"/>
  </si>
  <si>
    <t>베이컨슬라이스</t>
    <phoneticPr fontId="2" type="noConversion"/>
  </si>
  <si>
    <t>Bacon Slice</t>
    <phoneticPr fontId="2" type="noConversion"/>
  </si>
  <si>
    <t>Frozen Shrimp</t>
    <phoneticPr fontId="2" type="noConversion"/>
  </si>
  <si>
    <t>생새우</t>
    <phoneticPr fontId="2" type="noConversion"/>
  </si>
  <si>
    <t>Shrimp</t>
    <phoneticPr fontId="2" type="noConversion"/>
  </si>
  <si>
    <t>바지락</t>
    <phoneticPr fontId="2" type="noConversion"/>
  </si>
  <si>
    <t>Clams</t>
    <phoneticPr fontId="2" type="noConversion"/>
  </si>
  <si>
    <t>Pollock Roe</t>
    <phoneticPr fontId="2" type="noConversion"/>
  </si>
  <si>
    <t>날치알</t>
    <phoneticPr fontId="2" type="noConversion"/>
  </si>
  <si>
    <t>Flying Fish Roe</t>
    <phoneticPr fontId="2" type="noConversion"/>
  </si>
  <si>
    <t>Beef (Bulgogi)</t>
    <phoneticPr fontId="2" type="noConversion"/>
  </si>
  <si>
    <t>돼지고기 (다짐육)</t>
    <phoneticPr fontId="2" type="noConversion"/>
  </si>
  <si>
    <t>Pork (Minced)</t>
    <phoneticPr fontId="2" type="noConversion"/>
  </si>
  <si>
    <t>캔참치</t>
    <phoneticPr fontId="2" type="noConversion"/>
  </si>
  <si>
    <t>Canned Tuna</t>
    <phoneticPr fontId="2" type="noConversion"/>
  </si>
  <si>
    <t>Fish Cake</t>
    <phoneticPr fontId="2" type="noConversion"/>
  </si>
  <si>
    <t>치킨패티</t>
    <phoneticPr fontId="2" type="noConversion"/>
  </si>
  <si>
    <t>Chicken Patty</t>
    <phoneticPr fontId="2" type="noConversion"/>
  </si>
  <si>
    <t>O001</t>
    <phoneticPr fontId="2" type="noConversion"/>
  </si>
  <si>
    <t>bbq 전용유</t>
    <phoneticPr fontId="2" type="noConversion"/>
  </si>
  <si>
    <t>bbq Oil</t>
    <phoneticPr fontId="2" type="noConversion"/>
  </si>
  <si>
    <t>참기름</t>
    <phoneticPr fontId="2" type="noConversion"/>
  </si>
  <si>
    <t>Sesame Oil</t>
    <phoneticPr fontId="2" type="noConversion"/>
  </si>
  <si>
    <t>올리브유</t>
    <phoneticPr fontId="2" type="noConversion"/>
  </si>
  <si>
    <t>Olive Oil</t>
    <phoneticPr fontId="2" type="noConversion"/>
  </si>
  <si>
    <t>엑스트라버진올리브유</t>
    <phoneticPr fontId="2" type="noConversion"/>
  </si>
  <si>
    <t>Extra Virgin Olive Oil</t>
    <phoneticPr fontId="2" type="noConversion"/>
  </si>
  <si>
    <t>트러플 오일</t>
    <phoneticPr fontId="2" type="noConversion"/>
  </si>
  <si>
    <t>Truffle Oil</t>
    <phoneticPr fontId="2" type="noConversion"/>
  </si>
  <si>
    <t>쿠킹 오일</t>
    <phoneticPr fontId="2" type="noConversion"/>
  </si>
  <si>
    <t>Cooking Oil</t>
    <phoneticPr fontId="2" type="noConversion"/>
  </si>
  <si>
    <t>O004</t>
  </si>
  <si>
    <t>O005</t>
  </si>
  <si>
    <t>V001</t>
    <phoneticPr fontId="2" type="noConversion"/>
  </si>
  <si>
    <t>V004</t>
  </si>
  <si>
    <t>V005</t>
  </si>
  <si>
    <t>V006</t>
  </si>
  <si>
    <t>V010</t>
  </si>
  <si>
    <t>V012</t>
  </si>
  <si>
    <t>V013</t>
  </si>
  <si>
    <t>V014</t>
  </si>
  <si>
    <t>V015</t>
  </si>
  <si>
    <t>V017</t>
  </si>
  <si>
    <t>V018</t>
  </si>
  <si>
    <t>V019</t>
  </si>
  <si>
    <t>V021</t>
  </si>
  <si>
    <t>V022</t>
  </si>
  <si>
    <t>V023</t>
  </si>
  <si>
    <t>V024</t>
  </si>
  <si>
    <t>V025</t>
  </si>
  <si>
    <t>V026</t>
  </si>
  <si>
    <t>V027</t>
  </si>
  <si>
    <t>V028</t>
  </si>
  <si>
    <t>V029</t>
  </si>
  <si>
    <t>V030</t>
  </si>
  <si>
    <t>V032</t>
  </si>
  <si>
    <t>V034</t>
  </si>
  <si>
    <t>V035</t>
  </si>
  <si>
    <t>V036</t>
  </si>
  <si>
    <t>V037</t>
  </si>
  <si>
    <t>V038</t>
  </si>
  <si>
    <t>V040</t>
  </si>
  <si>
    <t>무</t>
    <phoneticPr fontId="2" type="noConversion"/>
  </si>
  <si>
    <t>Daikon or Radish</t>
    <phoneticPr fontId="2" type="noConversion"/>
  </si>
  <si>
    <t>대파</t>
    <phoneticPr fontId="2" type="noConversion"/>
  </si>
  <si>
    <t>쪽파</t>
    <phoneticPr fontId="2" type="noConversion"/>
  </si>
  <si>
    <t>청고추</t>
    <phoneticPr fontId="2" type="noConversion"/>
  </si>
  <si>
    <t>홍고추</t>
    <phoneticPr fontId="2" type="noConversion"/>
  </si>
  <si>
    <t xml:space="preserve">양파 </t>
    <phoneticPr fontId="2" type="noConversion"/>
  </si>
  <si>
    <t>냉동간마늘</t>
    <phoneticPr fontId="2" type="noConversion"/>
  </si>
  <si>
    <t>쌀</t>
    <phoneticPr fontId="2" type="noConversion"/>
  </si>
  <si>
    <t>당근</t>
    <phoneticPr fontId="2" type="noConversion"/>
  </si>
  <si>
    <t>깐마늘</t>
    <phoneticPr fontId="2" type="noConversion"/>
  </si>
  <si>
    <t>양상추</t>
    <phoneticPr fontId="2" type="noConversion"/>
  </si>
  <si>
    <t>Scallion(Green Onion)</t>
    <phoneticPr fontId="2" type="noConversion"/>
  </si>
  <si>
    <t>Green Chili Pepper</t>
    <phoneticPr fontId="2" type="noConversion"/>
  </si>
  <si>
    <t>Red Chili Pepper</t>
    <phoneticPr fontId="2" type="noConversion"/>
  </si>
  <si>
    <t>White Onion</t>
    <phoneticPr fontId="2" type="noConversion"/>
  </si>
  <si>
    <t>Rice</t>
    <phoneticPr fontId="2" type="noConversion"/>
  </si>
  <si>
    <t>Carrot</t>
    <phoneticPr fontId="2" type="noConversion"/>
  </si>
  <si>
    <t>Peeled Garlic</t>
    <phoneticPr fontId="2" type="noConversion"/>
  </si>
  <si>
    <t>Frozen Minced Garlic</t>
    <phoneticPr fontId="2" type="noConversion"/>
  </si>
  <si>
    <t>Lettuce</t>
    <phoneticPr fontId="2" type="noConversion"/>
  </si>
  <si>
    <t>로메인상추</t>
    <phoneticPr fontId="2" type="noConversion"/>
  </si>
  <si>
    <t>롤로로사상추(초록)</t>
    <phoneticPr fontId="2" type="noConversion"/>
  </si>
  <si>
    <t>롤로로사상추(빨강)</t>
    <phoneticPr fontId="2" type="noConversion"/>
  </si>
  <si>
    <t>적양배추</t>
    <phoneticPr fontId="2" type="noConversion"/>
  </si>
  <si>
    <t>새송이버섯</t>
    <phoneticPr fontId="2" type="noConversion"/>
  </si>
  <si>
    <t>느타리버섯</t>
    <phoneticPr fontId="2" type="noConversion"/>
  </si>
  <si>
    <t>베이비채소</t>
    <phoneticPr fontId="2" type="noConversion"/>
  </si>
  <si>
    <t>블랙올리브</t>
    <phoneticPr fontId="2" type="noConversion"/>
  </si>
  <si>
    <t>방울토마토</t>
    <phoneticPr fontId="2" type="noConversion"/>
  </si>
  <si>
    <t>사천고수</t>
    <phoneticPr fontId="2" type="noConversion"/>
  </si>
  <si>
    <t>어린잎채소</t>
    <phoneticPr fontId="2" type="noConversion"/>
  </si>
  <si>
    <t>표고버섯</t>
    <phoneticPr fontId="2" type="noConversion"/>
  </si>
  <si>
    <t>브로콜리</t>
    <phoneticPr fontId="2" type="noConversion"/>
  </si>
  <si>
    <t>캔양송이</t>
    <phoneticPr fontId="2" type="noConversion"/>
  </si>
  <si>
    <t>애호박</t>
    <phoneticPr fontId="2" type="noConversion"/>
  </si>
  <si>
    <t>오이</t>
    <phoneticPr fontId="2" type="noConversion"/>
  </si>
  <si>
    <t>Romaine Lettuce</t>
    <phoneticPr fontId="2" type="noConversion"/>
  </si>
  <si>
    <t>Lollo Rossa (Green)</t>
    <phoneticPr fontId="2" type="noConversion"/>
  </si>
  <si>
    <t>Lollo Rossa (Red)</t>
    <phoneticPr fontId="2" type="noConversion"/>
  </si>
  <si>
    <t>Red Cabbage</t>
    <phoneticPr fontId="2" type="noConversion"/>
  </si>
  <si>
    <t xml:space="preserve">Tomato </t>
    <phoneticPr fontId="2" type="noConversion"/>
  </si>
  <si>
    <t>토마토</t>
    <phoneticPr fontId="2" type="noConversion"/>
  </si>
  <si>
    <t>King Oyster Mushroom</t>
    <phoneticPr fontId="2" type="noConversion"/>
  </si>
  <si>
    <t>Oyster Mushroom</t>
    <phoneticPr fontId="2" type="noConversion"/>
  </si>
  <si>
    <t>Baby Vegetables</t>
    <phoneticPr fontId="2" type="noConversion"/>
  </si>
  <si>
    <t xml:space="preserve">Black Olive </t>
    <phoneticPr fontId="2" type="noConversion"/>
  </si>
  <si>
    <t>Cherry Tomato</t>
    <phoneticPr fontId="2" type="noConversion"/>
  </si>
  <si>
    <t>Sichuan Pepper</t>
    <phoneticPr fontId="2" type="noConversion"/>
  </si>
  <si>
    <t>Microgreen</t>
    <phoneticPr fontId="2" type="noConversion"/>
  </si>
  <si>
    <t>Shitake Mushroom</t>
    <phoneticPr fontId="2" type="noConversion"/>
  </si>
  <si>
    <t>Broccoli</t>
    <phoneticPr fontId="2" type="noConversion"/>
  </si>
  <si>
    <t>Can Button Mushroom</t>
    <phoneticPr fontId="2" type="noConversion"/>
  </si>
  <si>
    <t>Zucchini</t>
    <phoneticPr fontId="2" type="noConversion"/>
  </si>
  <si>
    <t>Cucumber</t>
    <phoneticPr fontId="2" type="noConversion"/>
  </si>
  <si>
    <t>김치</t>
    <phoneticPr fontId="2" type="noConversion"/>
  </si>
  <si>
    <t>양배추</t>
    <phoneticPr fontId="2" type="noConversion"/>
  </si>
  <si>
    <t>감자</t>
    <phoneticPr fontId="2" type="noConversion"/>
  </si>
  <si>
    <t>파프리카(빨강)</t>
    <phoneticPr fontId="2" type="noConversion"/>
  </si>
  <si>
    <t>파프리카(노랑)</t>
    <phoneticPr fontId="2" type="noConversion"/>
  </si>
  <si>
    <t>파프리카(초록)</t>
    <phoneticPr fontId="2" type="noConversion"/>
  </si>
  <si>
    <t>다시마</t>
    <phoneticPr fontId="2" type="noConversion"/>
  </si>
  <si>
    <t>순두부</t>
    <phoneticPr fontId="2" type="noConversion"/>
  </si>
  <si>
    <t>팽이버섯</t>
    <phoneticPr fontId="2" type="noConversion"/>
  </si>
  <si>
    <t>오렌지</t>
    <phoneticPr fontId="2" type="noConversion"/>
  </si>
  <si>
    <t>강낭콩</t>
    <phoneticPr fontId="2" type="noConversion"/>
  </si>
  <si>
    <t>옥수수(캔)</t>
    <phoneticPr fontId="2" type="noConversion"/>
  </si>
  <si>
    <t>아보카도</t>
    <phoneticPr fontId="2" type="noConversion"/>
  </si>
  <si>
    <t>바질</t>
    <phoneticPr fontId="2" type="noConversion"/>
  </si>
  <si>
    <t>루꼴라</t>
    <phoneticPr fontId="2" type="noConversion"/>
  </si>
  <si>
    <t>Kimchi</t>
    <phoneticPr fontId="2" type="noConversion"/>
  </si>
  <si>
    <t>Cabbage</t>
    <phoneticPr fontId="2" type="noConversion"/>
  </si>
  <si>
    <t>Potato</t>
    <phoneticPr fontId="2" type="noConversion"/>
  </si>
  <si>
    <t>Paprika(Red)</t>
    <phoneticPr fontId="2" type="noConversion"/>
  </si>
  <si>
    <t>Paprika(Yellow)</t>
    <phoneticPr fontId="2" type="noConversion"/>
  </si>
  <si>
    <t>Paprika(Green)</t>
    <phoneticPr fontId="2" type="noConversion"/>
  </si>
  <si>
    <t>Kelp</t>
    <phoneticPr fontId="2" type="noConversion"/>
  </si>
  <si>
    <t>Soft Tofu</t>
    <phoneticPr fontId="2" type="noConversion"/>
  </si>
  <si>
    <t>Enoki Mushroom</t>
    <phoneticPr fontId="2" type="noConversion"/>
  </si>
  <si>
    <t>Orange</t>
    <phoneticPr fontId="2" type="noConversion"/>
  </si>
  <si>
    <t>Kidney Bean</t>
    <phoneticPr fontId="2" type="noConversion"/>
  </si>
  <si>
    <t>Corn(Canned)</t>
    <phoneticPr fontId="2" type="noConversion"/>
  </si>
  <si>
    <t>Avocado</t>
    <phoneticPr fontId="2" type="noConversion"/>
  </si>
  <si>
    <t>Basil</t>
    <phoneticPr fontId="2" type="noConversion"/>
  </si>
  <si>
    <t>Arugula</t>
    <phoneticPr fontId="2" type="noConversion"/>
  </si>
  <si>
    <t>V043</t>
  </si>
  <si>
    <t>V044</t>
  </si>
  <si>
    <t>I001</t>
    <phoneticPr fontId="2" type="noConversion"/>
  </si>
  <si>
    <t>I002</t>
    <phoneticPr fontId="2" type="noConversion"/>
  </si>
  <si>
    <t>I005</t>
  </si>
  <si>
    <t>I013</t>
  </si>
  <si>
    <t>I014</t>
  </si>
  <si>
    <t>I016</t>
  </si>
  <si>
    <t>I018</t>
  </si>
  <si>
    <t>I020</t>
  </si>
  <si>
    <t>I022</t>
  </si>
  <si>
    <t>I023</t>
  </si>
  <si>
    <t>I024</t>
  </si>
  <si>
    <t>I026</t>
  </si>
  <si>
    <t>I027</t>
  </si>
  <si>
    <t>I029</t>
  </si>
  <si>
    <t>I030</t>
  </si>
  <si>
    <t>I034</t>
  </si>
  <si>
    <t>I035</t>
  </si>
  <si>
    <t>I036</t>
  </si>
  <si>
    <t>I038</t>
  </si>
  <si>
    <t>I040</t>
  </si>
  <si>
    <t>I041</t>
  </si>
  <si>
    <t>I043</t>
  </si>
  <si>
    <t>I044</t>
  </si>
  <si>
    <t>I045</t>
  </si>
  <si>
    <t>정수</t>
    <phoneticPr fontId="2" type="noConversion"/>
  </si>
  <si>
    <t>소금</t>
    <phoneticPr fontId="2" type="noConversion"/>
  </si>
  <si>
    <t>깨</t>
    <phoneticPr fontId="2" type="noConversion"/>
  </si>
  <si>
    <t>다진마늘</t>
    <phoneticPr fontId="2" type="noConversion"/>
  </si>
  <si>
    <t>땅콩분태</t>
    <phoneticPr fontId="2" type="noConversion"/>
  </si>
  <si>
    <t>빵가루</t>
    <phoneticPr fontId="2" type="noConversion"/>
  </si>
  <si>
    <t>파슬리</t>
    <phoneticPr fontId="2" type="noConversion"/>
  </si>
  <si>
    <t>체다</t>
    <phoneticPr fontId="2" type="noConversion"/>
  </si>
  <si>
    <t>체다슬라이스</t>
    <phoneticPr fontId="2" type="noConversion"/>
  </si>
  <si>
    <t>휘핑크림</t>
    <phoneticPr fontId="2" type="noConversion"/>
  </si>
  <si>
    <t>미원</t>
    <phoneticPr fontId="2" type="noConversion"/>
  </si>
  <si>
    <t>백후추</t>
    <phoneticPr fontId="2" type="noConversion"/>
  </si>
  <si>
    <t>계란</t>
    <phoneticPr fontId="2" type="noConversion"/>
  </si>
  <si>
    <t>건파스타면</t>
    <phoneticPr fontId="2" type="noConversion"/>
  </si>
  <si>
    <t>파마산치즈가루</t>
    <phoneticPr fontId="2" type="noConversion"/>
  </si>
  <si>
    <t>꽃소금</t>
    <phoneticPr fontId="2" type="noConversion"/>
  </si>
  <si>
    <t>통후추</t>
    <phoneticPr fontId="2" type="noConversion"/>
  </si>
  <si>
    <t>김가루</t>
    <phoneticPr fontId="2" type="noConversion"/>
  </si>
  <si>
    <t xml:space="preserve">Purified Water </t>
    <phoneticPr fontId="2" type="noConversion"/>
  </si>
  <si>
    <t>Salt</t>
    <phoneticPr fontId="2" type="noConversion"/>
  </si>
  <si>
    <t>Sesame Seeds</t>
    <phoneticPr fontId="2" type="noConversion"/>
  </si>
  <si>
    <t>minced Garlic</t>
    <phoneticPr fontId="2" type="noConversion"/>
  </si>
  <si>
    <t>Crushed Peanut</t>
    <phoneticPr fontId="2" type="noConversion"/>
  </si>
  <si>
    <t>Panko Bread Crumb</t>
    <phoneticPr fontId="2" type="noConversion"/>
  </si>
  <si>
    <t xml:space="preserve">Parsley Flakes </t>
    <phoneticPr fontId="2" type="noConversion"/>
  </si>
  <si>
    <t>Mozzarella</t>
    <phoneticPr fontId="2" type="noConversion"/>
  </si>
  <si>
    <t>Cheddar</t>
    <phoneticPr fontId="2" type="noConversion"/>
  </si>
  <si>
    <t>Cheddar Slice</t>
    <phoneticPr fontId="2" type="noConversion"/>
  </si>
  <si>
    <t>pane Bowl</t>
    <phoneticPr fontId="2" type="noConversion"/>
  </si>
  <si>
    <t>브레드볼(빠네)</t>
    <phoneticPr fontId="2" type="noConversion"/>
  </si>
  <si>
    <t>Whipped Cream</t>
    <phoneticPr fontId="2" type="noConversion"/>
  </si>
  <si>
    <t>White Pepper</t>
    <phoneticPr fontId="2" type="noConversion"/>
  </si>
  <si>
    <t>Egg</t>
    <phoneticPr fontId="2" type="noConversion"/>
  </si>
  <si>
    <t>Grated Parmesan</t>
    <phoneticPr fontId="2" type="noConversion"/>
  </si>
  <si>
    <t xml:space="preserve">Refined Salt </t>
    <phoneticPr fontId="2" type="noConversion"/>
  </si>
  <si>
    <t>Whole Black Pepper</t>
    <phoneticPr fontId="2" type="noConversion"/>
  </si>
  <si>
    <t xml:space="preserve">Seasoned Seaweed Flakes </t>
    <phoneticPr fontId="2" type="noConversion"/>
  </si>
  <si>
    <t>후추</t>
    <phoneticPr fontId="2" type="noConversion"/>
  </si>
  <si>
    <t>그라나파다노</t>
    <phoneticPr fontId="2" type="noConversion"/>
  </si>
  <si>
    <t>치아바타</t>
    <phoneticPr fontId="2" type="noConversion"/>
  </si>
  <si>
    <t>버터</t>
    <phoneticPr fontId="2" type="noConversion"/>
  </si>
  <si>
    <t>순후추</t>
    <phoneticPr fontId="2" type="noConversion"/>
  </si>
  <si>
    <t>크루통</t>
    <phoneticPr fontId="2" type="noConversion"/>
  </si>
  <si>
    <t>백설탕</t>
    <phoneticPr fontId="2" type="noConversion"/>
  </si>
  <si>
    <t>볶음개</t>
    <phoneticPr fontId="2" type="noConversion"/>
  </si>
  <si>
    <t>달걀지단</t>
    <phoneticPr fontId="2" type="noConversion"/>
  </si>
  <si>
    <t>소고기다시다</t>
    <phoneticPr fontId="2" type="noConversion"/>
  </si>
  <si>
    <t>떡볶이떡(쌀떡)</t>
    <phoneticPr fontId="2" type="noConversion"/>
  </si>
  <si>
    <t>치킨스톡</t>
    <phoneticPr fontId="2" type="noConversion"/>
  </si>
  <si>
    <t>고추가루(굵은)</t>
    <phoneticPr fontId="2" type="noConversion"/>
  </si>
  <si>
    <t>고추가루(고운)</t>
    <phoneticPr fontId="2" type="noConversion"/>
  </si>
  <si>
    <t>미림</t>
    <phoneticPr fontId="2" type="noConversion"/>
  </si>
  <si>
    <t>마스카포네</t>
    <phoneticPr fontId="2" type="noConversion"/>
  </si>
  <si>
    <t>요거트</t>
    <phoneticPr fontId="2" type="noConversion"/>
  </si>
  <si>
    <t>Crouton</t>
    <phoneticPr fontId="2" type="noConversion"/>
  </si>
  <si>
    <t>White Sugar</t>
    <phoneticPr fontId="2" type="noConversion"/>
  </si>
  <si>
    <t>Roasted Sesame Seeds</t>
    <phoneticPr fontId="2" type="noConversion"/>
  </si>
  <si>
    <t>Egg Garnish</t>
    <phoneticPr fontId="2" type="noConversion"/>
  </si>
  <si>
    <t>Beef Soup Stock</t>
    <phoneticPr fontId="2" type="noConversion"/>
  </si>
  <si>
    <t xml:space="preserve">Rice Cake </t>
    <phoneticPr fontId="2" type="noConversion"/>
  </si>
  <si>
    <t>Red Pepper Powder (Thick)</t>
    <phoneticPr fontId="2" type="noConversion"/>
  </si>
  <si>
    <t>Mirom (Cooking Wine)</t>
    <phoneticPr fontId="2" type="noConversion"/>
  </si>
  <si>
    <t>Mascarpone</t>
    <phoneticPr fontId="2" type="noConversion"/>
  </si>
  <si>
    <t>Yogurt</t>
    <phoneticPr fontId="2" type="noConversion"/>
  </si>
  <si>
    <t>Grana Padano</t>
    <phoneticPr fontId="2" type="noConversion"/>
  </si>
  <si>
    <t>Ciabatta</t>
    <phoneticPr fontId="2" type="noConversion"/>
  </si>
  <si>
    <t>Butter</t>
    <phoneticPr fontId="2" type="noConversion"/>
  </si>
  <si>
    <t xml:space="preserve">Black Pepper Powder </t>
    <phoneticPr fontId="2" type="noConversion"/>
  </si>
  <si>
    <t>Black Pepper</t>
    <phoneticPr fontId="2" type="noConversion"/>
  </si>
  <si>
    <t>버거번</t>
    <phoneticPr fontId="2" type="noConversion"/>
  </si>
  <si>
    <t>물엿</t>
    <phoneticPr fontId="2" type="noConversion"/>
  </si>
  <si>
    <t>식초</t>
    <phoneticPr fontId="2" type="noConversion"/>
  </si>
  <si>
    <t>레몬농축액</t>
    <phoneticPr fontId="2" type="noConversion"/>
  </si>
  <si>
    <t>옥수수가루</t>
    <phoneticPr fontId="2" type="noConversion"/>
  </si>
  <si>
    <t>바질패스토</t>
    <phoneticPr fontId="2" type="noConversion"/>
  </si>
  <si>
    <t>Burger Buns</t>
    <phoneticPr fontId="2" type="noConversion"/>
  </si>
  <si>
    <t>Corn Syrup</t>
    <phoneticPr fontId="2" type="noConversion"/>
  </si>
  <si>
    <t>Vinegar</t>
    <phoneticPr fontId="2" type="noConversion"/>
  </si>
  <si>
    <t xml:space="preserve">Lemon Juice </t>
    <phoneticPr fontId="2" type="noConversion"/>
  </si>
  <si>
    <t>Corn Flour</t>
    <phoneticPr fontId="2" type="noConversion"/>
  </si>
  <si>
    <t>Basil Pesto</t>
    <phoneticPr fontId="2" type="noConversion"/>
  </si>
  <si>
    <t>감자튀김</t>
    <phoneticPr fontId="2" type="noConversion"/>
  </si>
  <si>
    <t>드라이아이스</t>
    <phoneticPr fontId="2" type="noConversion"/>
  </si>
  <si>
    <t>냉동머시룸스프</t>
    <phoneticPr fontId="2" type="noConversion"/>
  </si>
  <si>
    <t>냉동도우</t>
    <phoneticPr fontId="2" type="noConversion"/>
  </si>
  <si>
    <t>크림치즈볼</t>
    <phoneticPr fontId="2" type="noConversion"/>
  </si>
  <si>
    <t>치즈스틱</t>
    <phoneticPr fontId="2" type="noConversion"/>
  </si>
  <si>
    <t>F003</t>
  </si>
  <si>
    <t>F004</t>
  </si>
  <si>
    <t>F006</t>
  </si>
  <si>
    <t>F007</t>
  </si>
  <si>
    <t>F008</t>
  </si>
  <si>
    <t>F009</t>
  </si>
  <si>
    <t>F010</t>
  </si>
  <si>
    <t>French Fries</t>
    <phoneticPr fontId="2" type="noConversion"/>
  </si>
  <si>
    <t>Dry Ice</t>
    <phoneticPr fontId="2" type="noConversion"/>
  </si>
  <si>
    <t>Frozen Mushroom Soup</t>
    <phoneticPr fontId="2" type="noConversion"/>
  </si>
  <si>
    <t>Frozen Dough</t>
    <phoneticPr fontId="2" type="noConversion"/>
  </si>
  <si>
    <t xml:space="preserve">Cream Cheese Ball </t>
    <phoneticPr fontId="2" type="noConversion"/>
  </si>
  <si>
    <t>Cheese Stick</t>
    <phoneticPr fontId="2" type="noConversion"/>
  </si>
  <si>
    <t>Dumpling</t>
    <phoneticPr fontId="2" type="noConversion"/>
  </si>
  <si>
    <t>튀김가루</t>
    <phoneticPr fontId="2" type="noConversion"/>
  </si>
  <si>
    <t>PK001</t>
    <phoneticPr fontId="2" type="noConversion"/>
  </si>
  <si>
    <t>PK002</t>
    <phoneticPr fontId="2" type="noConversion"/>
  </si>
  <si>
    <t>패키지(대)</t>
    <phoneticPr fontId="2" type="noConversion"/>
  </si>
  <si>
    <t>패키지(중)</t>
    <phoneticPr fontId="2" type="noConversion"/>
  </si>
  <si>
    <t>패키지(소)</t>
    <phoneticPr fontId="2" type="noConversion"/>
  </si>
  <si>
    <t>트레이(대)</t>
    <phoneticPr fontId="2" type="noConversion"/>
  </si>
  <si>
    <t>트레이(중)</t>
    <phoneticPr fontId="2" type="noConversion"/>
  </si>
  <si>
    <t>트레이(소)</t>
    <phoneticPr fontId="2" type="noConversion"/>
  </si>
  <si>
    <t>비닐쇼핑백(대)</t>
    <phoneticPr fontId="2" type="noConversion"/>
  </si>
  <si>
    <t>비닐쇼핑백(중)</t>
    <phoneticPr fontId="2" type="noConversion"/>
  </si>
  <si>
    <t>비닐쇼핑백(소)</t>
    <phoneticPr fontId="2" type="noConversion"/>
  </si>
  <si>
    <t>냅킨</t>
    <phoneticPr fontId="2" type="noConversion"/>
  </si>
  <si>
    <t>포크</t>
    <phoneticPr fontId="2" type="noConversion"/>
  </si>
  <si>
    <t>나이프</t>
    <phoneticPr fontId="2" type="noConversion"/>
  </si>
  <si>
    <t>숟가락</t>
    <phoneticPr fontId="2" type="noConversion"/>
  </si>
  <si>
    <t>물티슈</t>
    <phoneticPr fontId="2" type="noConversion"/>
  </si>
  <si>
    <t>소독저</t>
    <phoneticPr fontId="2" type="noConversion"/>
  </si>
  <si>
    <t>포테이토전용용기2</t>
    <phoneticPr fontId="2" type="noConversion"/>
  </si>
  <si>
    <t>bbq버거포장지</t>
    <phoneticPr fontId="2" type="noConversion"/>
  </si>
  <si>
    <t>유산지(대)</t>
    <phoneticPr fontId="2" type="noConversion"/>
  </si>
  <si>
    <t>감자튀김백</t>
    <phoneticPr fontId="2" type="noConversion"/>
  </si>
  <si>
    <t>국물용기(용기+뚜껑)</t>
    <phoneticPr fontId="2" type="noConversion"/>
  </si>
  <si>
    <t xml:space="preserve">G&amp;G 패키지 (대) </t>
    <phoneticPr fontId="2" type="noConversion"/>
  </si>
  <si>
    <t xml:space="preserve">G&amp;G 패키지 (중) </t>
    <phoneticPr fontId="2" type="noConversion"/>
  </si>
  <si>
    <t>PK003</t>
  </si>
  <si>
    <t>PK004</t>
  </si>
  <si>
    <t>PK005</t>
  </si>
  <si>
    <t>PK006</t>
  </si>
  <si>
    <t>PK007</t>
  </si>
  <si>
    <t>PK008</t>
  </si>
  <si>
    <t>PK009</t>
  </si>
  <si>
    <t>PK010</t>
  </si>
  <si>
    <t>PK011</t>
  </si>
  <si>
    <t>PK012</t>
  </si>
  <si>
    <t>PK013</t>
  </si>
  <si>
    <t>PK014</t>
  </si>
  <si>
    <t>PK015</t>
  </si>
  <si>
    <t>PK016</t>
  </si>
  <si>
    <t>PK017</t>
  </si>
  <si>
    <t>PK018</t>
  </si>
  <si>
    <t>PK019</t>
  </si>
  <si>
    <t>PK020</t>
  </si>
  <si>
    <t>PK021</t>
  </si>
  <si>
    <t>PK022</t>
  </si>
  <si>
    <t>Package Box (L)</t>
    <phoneticPr fontId="2" type="noConversion"/>
  </si>
  <si>
    <t>Package Box (M)</t>
    <phoneticPr fontId="2" type="noConversion"/>
  </si>
  <si>
    <t>Package Box (S)</t>
    <phoneticPr fontId="2" type="noConversion"/>
  </si>
  <si>
    <t>To-Go Tray (L)</t>
    <phoneticPr fontId="2" type="noConversion"/>
  </si>
  <si>
    <t>To-Go Tray (M)</t>
    <phoneticPr fontId="2" type="noConversion"/>
  </si>
  <si>
    <t>To-Go Tray (S)</t>
    <phoneticPr fontId="2" type="noConversion"/>
  </si>
  <si>
    <t>Plastic Bag (L)</t>
    <phoneticPr fontId="2" type="noConversion"/>
  </si>
  <si>
    <t>Plastic Bag (M)</t>
    <phoneticPr fontId="2" type="noConversion"/>
  </si>
  <si>
    <t>Plastic Bag (S)</t>
    <phoneticPr fontId="2" type="noConversion"/>
  </si>
  <si>
    <t>Napkin</t>
    <phoneticPr fontId="2" type="noConversion"/>
  </si>
  <si>
    <t>6.5" Fork</t>
    <phoneticPr fontId="2" type="noConversion"/>
  </si>
  <si>
    <t>7" Knife</t>
    <phoneticPr fontId="2" type="noConversion"/>
  </si>
  <si>
    <t>6.5" Spoon</t>
    <phoneticPr fontId="2" type="noConversion"/>
  </si>
  <si>
    <t>Wet Tissue</t>
    <phoneticPr fontId="2" type="noConversion"/>
  </si>
  <si>
    <t>Chopsticks</t>
    <phoneticPr fontId="2" type="noConversion"/>
  </si>
  <si>
    <t>Potato Container Type-2</t>
    <phoneticPr fontId="2" type="noConversion"/>
  </si>
  <si>
    <t xml:space="preserve">bbq Burger Wrapper </t>
    <phoneticPr fontId="2" type="noConversion"/>
  </si>
  <si>
    <t>Parchment Paper(L)</t>
    <phoneticPr fontId="2" type="noConversion"/>
  </si>
  <si>
    <t xml:space="preserve">French Fries Bag </t>
    <phoneticPr fontId="2" type="noConversion"/>
  </si>
  <si>
    <t xml:space="preserve">Soup Container </t>
    <phoneticPr fontId="2" type="noConversion"/>
  </si>
  <si>
    <t>G&amp;G Container (L)</t>
    <phoneticPr fontId="2" type="noConversion"/>
  </si>
  <si>
    <t>G&amp;G Container (M)</t>
    <phoneticPr fontId="2" type="noConversion"/>
  </si>
  <si>
    <t>PK023</t>
  </si>
  <si>
    <t>PK024</t>
  </si>
  <si>
    <t>G&amp;G 크레프트 패키지 (1호)</t>
    <phoneticPr fontId="2" type="noConversion"/>
  </si>
  <si>
    <t>G&amp;G 크레프트 패키지 (8호)</t>
    <phoneticPr fontId="2" type="noConversion"/>
  </si>
  <si>
    <t>G&amp;G Craft Package (1")</t>
    <phoneticPr fontId="2" type="noConversion"/>
  </si>
  <si>
    <t>G&amp;G Craft Package (8")</t>
    <phoneticPr fontId="2" type="noConversion"/>
  </si>
  <si>
    <t xml:space="preserve">CK SHEET </t>
    <phoneticPr fontId="2" type="noConversion"/>
  </si>
  <si>
    <t>CK001</t>
    <phoneticPr fontId="2" type="noConversion"/>
  </si>
  <si>
    <t>CK002</t>
    <phoneticPr fontId="2" type="noConversion"/>
  </si>
  <si>
    <t>명란</t>
    <phoneticPr fontId="2" type="noConversion"/>
  </si>
  <si>
    <t>Manual(Kitchen)</t>
  </si>
  <si>
    <t>Name</t>
  </si>
  <si>
    <t>Picture</t>
  </si>
  <si>
    <t>Ingredients</t>
  </si>
  <si>
    <t>Weight</t>
  </si>
  <si>
    <t>Others</t>
  </si>
  <si>
    <t>COOKING METHOD</t>
  </si>
  <si>
    <t>PROCESS</t>
  </si>
  <si>
    <t>MANUAL</t>
  </si>
  <si>
    <t>▶Prepare all ingredients before start.</t>
  </si>
  <si>
    <t>▶Check chicken pieces and condition.</t>
  </si>
  <si>
    <t>▶Put the chicken in stainless bowl.</t>
  </si>
  <si>
    <t>▶Put marinade powder mix(1.2%) on chicken then mix it well.</t>
  </si>
  <si>
    <t>▶Keep it in refrigerator for 2~24hour.</t>
  </si>
  <si>
    <t>▶Mix on the ratio of 1:1.7</t>
  </si>
  <si>
    <t xml:space="preserve">  (Battering Powder Mix 1,000g : Ice Water 1,700g)</t>
  </si>
  <si>
    <t xml:space="preserve">▶Sift battering powder mix solution then put it in a container and </t>
  </si>
  <si>
    <t xml:space="preserve">   keep in refrigerator.</t>
  </si>
  <si>
    <t xml:space="preserve">▶Temperature of battering powder mix solution should be below </t>
  </si>
  <si>
    <r>
      <t xml:space="preserve">  4℃ but above 1</t>
    </r>
    <r>
      <rPr>
        <sz val="10"/>
        <color rgb="FF000000"/>
        <rFont val="맑은 고딕"/>
        <family val="3"/>
        <charset val="129"/>
      </rPr>
      <t>℃.</t>
    </r>
  </si>
  <si>
    <t xml:space="preserve"> ★Keep batter mix solution in refrigerator (Refrigerate up to 4 hours) </t>
  </si>
  <si>
    <t>▶Put 130g battering powder mix solution on chicken.</t>
  </si>
  <si>
    <t>▶Mix it with rubber spatula.</t>
  </si>
  <si>
    <t>▶Put battering powder mix in stainless container.</t>
  </si>
  <si>
    <t xml:space="preserve">▶Put the battered chicken pieces in the battering powder mix, </t>
  </si>
  <si>
    <t xml:space="preserve">  then bread them. (up &amp; down about 20 times with finger)</t>
  </si>
  <si>
    <t>▶After breading them all, spread them out with fingers into fryer.</t>
  </si>
  <si>
    <t xml:space="preserve">  ★Hold the end of chicken pieces, then shake them off lightly</t>
  </si>
  <si>
    <t xml:space="preserve">  by hitting the back of the hand.</t>
  </si>
  <si>
    <t>▶Frying &amp; Oil Dripping Process. (Frying Time: 11mins)</t>
  </si>
  <si>
    <t>▶Temp.: 165℃/329℉</t>
  </si>
  <si>
    <t>▶After 2mins, scatter chicken not to attach each other.</t>
  </si>
  <si>
    <t xml:space="preserve">   and after 4 mins put small knife into the drumstick to blood letting.</t>
  </si>
  <si>
    <t>▶After cooking, drip oil from cooked chicken for 1min.</t>
  </si>
  <si>
    <t>▶Serve with pickled radish</t>
  </si>
  <si>
    <t>BBQ GLOBAL</t>
    <phoneticPr fontId="2" type="noConversion"/>
  </si>
  <si>
    <t>Korean</t>
    <phoneticPr fontId="2" type="noConversion"/>
  </si>
  <si>
    <t>English</t>
    <phoneticPr fontId="2" type="noConversion"/>
  </si>
  <si>
    <t>CODE</t>
    <phoneticPr fontId="2" type="noConversion"/>
  </si>
  <si>
    <t>카놀라 오일</t>
    <phoneticPr fontId="2" type="noConversion"/>
  </si>
  <si>
    <t>Canola Oil</t>
    <phoneticPr fontId="2" type="noConversion"/>
  </si>
  <si>
    <t>O008</t>
    <phoneticPr fontId="2" type="noConversion"/>
  </si>
  <si>
    <t>해바라기 오일</t>
    <phoneticPr fontId="2" type="noConversion"/>
  </si>
  <si>
    <t>SunFlower Oil</t>
    <phoneticPr fontId="2" type="noConversion"/>
  </si>
  <si>
    <t>COST</t>
    <phoneticPr fontId="2" type="noConversion"/>
  </si>
  <si>
    <t>U/P</t>
    <phoneticPr fontId="2" type="noConversion"/>
  </si>
  <si>
    <t>Categ</t>
    <phoneticPr fontId="2" type="noConversion"/>
  </si>
  <si>
    <t>Usage</t>
    <phoneticPr fontId="2" type="noConversion"/>
  </si>
  <si>
    <t>Cost</t>
    <phoneticPr fontId="2" type="noConversion"/>
  </si>
  <si>
    <t>DI</t>
    <phoneticPr fontId="2" type="noConversion"/>
  </si>
  <si>
    <t>CODE
Categ</t>
    <phoneticPr fontId="2" type="noConversion"/>
  </si>
  <si>
    <t>M/S
CODE</t>
    <phoneticPr fontId="2" type="noConversion"/>
  </si>
  <si>
    <t>CK
CODE</t>
    <phoneticPr fontId="2" type="noConversion"/>
  </si>
  <si>
    <t>PACK
AGE</t>
    <phoneticPr fontId="2" type="noConversion"/>
  </si>
  <si>
    <t>DINE-IN COST</t>
    <phoneticPr fontId="2" type="noConversion"/>
  </si>
  <si>
    <t>T/O COST</t>
    <phoneticPr fontId="2" type="noConversion"/>
  </si>
  <si>
    <t>Content</t>
    <phoneticPr fontId="2" type="noConversion"/>
  </si>
  <si>
    <t>올리브배터믹스솔루션</t>
    <phoneticPr fontId="2" type="noConversion"/>
  </si>
  <si>
    <t>허니갈릭배터믹스솔루션</t>
    <phoneticPr fontId="2" type="noConversion"/>
  </si>
  <si>
    <t>Battering Powder Mix Solution(White)</t>
    <phoneticPr fontId="2" type="noConversion"/>
  </si>
  <si>
    <t>Battering Powder Mix C Solution(Yellow)</t>
    <phoneticPr fontId="2" type="noConversion"/>
  </si>
  <si>
    <t>CH001</t>
    <phoneticPr fontId="2" type="noConversion"/>
  </si>
  <si>
    <t>CH004</t>
    <phoneticPr fontId="2" type="noConversion"/>
  </si>
  <si>
    <t>CH005</t>
    <phoneticPr fontId="2" type="noConversion"/>
  </si>
  <si>
    <t>CH006</t>
    <phoneticPr fontId="2" type="noConversion"/>
  </si>
  <si>
    <t>CH007</t>
    <phoneticPr fontId="2" type="noConversion"/>
  </si>
  <si>
    <t>CH010</t>
    <phoneticPr fontId="2" type="noConversion"/>
  </si>
  <si>
    <t>CH011</t>
    <phoneticPr fontId="2" type="noConversion"/>
  </si>
  <si>
    <t>P008</t>
    <phoneticPr fontId="2" type="noConversion"/>
  </si>
  <si>
    <t>CK002</t>
    <phoneticPr fontId="2" type="noConversion"/>
  </si>
  <si>
    <t>S009</t>
    <phoneticPr fontId="2" type="noConversion"/>
  </si>
  <si>
    <t>I004</t>
    <phoneticPr fontId="2" type="noConversion"/>
  </si>
  <si>
    <t>세라노 페퍼</t>
    <phoneticPr fontId="2" type="noConversion"/>
  </si>
  <si>
    <t>고르곤졸라치즈</t>
    <phoneticPr fontId="2" type="noConversion"/>
  </si>
  <si>
    <t>Gorgonzola Cheese</t>
    <phoneticPr fontId="2" type="noConversion"/>
  </si>
  <si>
    <t>Serano Pepper</t>
    <phoneticPr fontId="2" type="noConversion"/>
  </si>
  <si>
    <t>O006</t>
    <phoneticPr fontId="2" type="noConversion"/>
  </si>
  <si>
    <t>Mala Hot Sauce</t>
    <phoneticPr fontId="2" type="noConversion"/>
  </si>
  <si>
    <t>S006</t>
    <phoneticPr fontId="2" type="noConversion"/>
  </si>
  <si>
    <t>S021</t>
    <phoneticPr fontId="2" type="noConversion"/>
  </si>
  <si>
    <t xml:space="preserve">COSTING, SALES MIX </t>
  </si>
  <si>
    <t>VAT</t>
  </si>
  <si>
    <t>MENU 
CODE</t>
  </si>
  <si>
    <t>PRICE</t>
  </si>
  <si>
    <t xml:space="preserve">ENGLISH </t>
  </si>
  <si>
    <t xml:space="preserve">CODE </t>
    <phoneticPr fontId="2" type="noConversion"/>
  </si>
  <si>
    <t>M001</t>
    <phoneticPr fontId="2" type="noConversion"/>
  </si>
  <si>
    <t>COGS %</t>
    <phoneticPr fontId="2" type="noConversion"/>
  </si>
  <si>
    <t>I011</t>
    <phoneticPr fontId="2" type="noConversion"/>
  </si>
  <si>
    <t>ea</t>
    <phoneticPr fontId="2" type="noConversion"/>
  </si>
  <si>
    <t>D001</t>
    <phoneticPr fontId="2" type="noConversion"/>
  </si>
  <si>
    <t>I009</t>
    <phoneticPr fontId="2" type="noConversion"/>
  </si>
  <si>
    <t>I010</t>
    <phoneticPr fontId="2" type="noConversion"/>
  </si>
  <si>
    <t>F002</t>
    <phoneticPr fontId="2" type="noConversion"/>
  </si>
  <si>
    <t>S010</t>
    <phoneticPr fontId="2" type="noConversion"/>
  </si>
  <si>
    <t>V045</t>
    <phoneticPr fontId="2" type="noConversion"/>
  </si>
  <si>
    <t>시금치</t>
    <phoneticPr fontId="2" type="noConversion"/>
  </si>
  <si>
    <t>Spinach</t>
    <phoneticPr fontId="2" type="noConversion"/>
  </si>
  <si>
    <t>V046</t>
    <phoneticPr fontId="2" type="noConversion"/>
  </si>
  <si>
    <t>CH009</t>
    <phoneticPr fontId="2" type="noConversion"/>
  </si>
  <si>
    <t>V007</t>
    <phoneticPr fontId="2" type="noConversion"/>
  </si>
  <si>
    <t>I021</t>
    <phoneticPr fontId="2" type="noConversion"/>
  </si>
  <si>
    <t>V003</t>
    <phoneticPr fontId="2" type="noConversion"/>
  </si>
  <si>
    <t>V008</t>
    <phoneticPr fontId="2" type="noConversion"/>
  </si>
  <si>
    <t>I015</t>
    <phoneticPr fontId="2" type="noConversion"/>
  </si>
  <si>
    <t>I002</t>
    <phoneticPr fontId="2" type="noConversion"/>
  </si>
  <si>
    <t>I019</t>
    <phoneticPr fontId="2" type="noConversion"/>
  </si>
  <si>
    <t>I028</t>
    <phoneticPr fontId="2" type="noConversion"/>
  </si>
  <si>
    <t>V002</t>
    <phoneticPr fontId="2" type="noConversion"/>
  </si>
  <si>
    <t>O007</t>
    <phoneticPr fontId="2" type="noConversion"/>
  </si>
  <si>
    <t>O002</t>
    <phoneticPr fontId="2" type="noConversion"/>
  </si>
  <si>
    <t>S011</t>
    <phoneticPr fontId="2" type="noConversion"/>
  </si>
  <si>
    <t>I031</t>
    <phoneticPr fontId="2" type="noConversion"/>
  </si>
  <si>
    <t>I007</t>
    <phoneticPr fontId="2" type="noConversion"/>
  </si>
  <si>
    <t>I012</t>
    <phoneticPr fontId="2" type="noConversion"/>
  </si>
  <si>
    <t>M009</t>
    <phoneticPr fontId="2" type="noConversion"/>
  </si>
  <si>
    <t>불닭볶음면</t>
    <phoneticPr fontId="2" type="noConversion"/>
  </si>
  <si>
    <t>Buldak Bokkeum Myeon</t>
    <phoneticPr fontId="2" type="noConversion"/>
  </si>
  <si>
    <t>V009</t>
    <phoneticPr fontId="2" type="noConversion"/>
  </si>
  <si>
    <t>V031</t>
    <phoneticPr fontId="2" type="noConversion"/>
  </si>
  <si>
    <t>P012</t>
    <phoneticPr fontId="2" type="noConversion"/>
  </si>
  <si>
    <t>ea</t>
    <phoneticPr fontId="2" type="noConversion"/>
  </si>
  <si>
    <t>짜파게티</t>
    <phoneticPr fontId="2" type="noConversion"/>
  </si>
  <si>
    <t>Chapaghetti</t>
    <phoneticPr fontId="2" type="noConversion"/>
  </si>
  <si>
    <t>V033</t>
    <phoneticPr fontId="2" type="noConversion"/>
  </si>
  <si>
    <t>I050</t>
  </si>
  <si>
    <t>Ramyoen(Noodle)</t>
    <phoneticPr fontId="2" type="noConversion"/>
  </si>
  <si>
    <t>I032</t>
    <phoneticPr fontId="2" type="noConversion"/>
  </si>
  <si>
    <t>Onion Ring</t>
    <phoneticPr fontId="2" type="noConversion"/>
  </si>
  <si>
    <t>갈릭 마요네즈</t>
    <phoneticPr fontId="2" type="noConversion"/>
  </si>
  <si>
    <t>Garlic Mayonnaise</t>
    <phoneticPr fontId="2" type="noConversion"/>
  </si>
  <si>
    <t>슬라이스 치즈</t>
    <phoneticPr fontId="2" type="noConversion"/>
  </si>
  <si>
    <t>Sliced Cheese</t>
    <phoneticPr fontId="2" type="noConversion"/>
  </si>
  <si>
    <t>오이피클</t>
    <phoneticPr fontId="2" type="noConversion"/>
  </si>
  <si>
    <t>Pickled Cucumber</t>
    <phoneticPr fontId="2" type="noConversion"/>
  </si>
  <si>
    <t>Mixed Salad</t>
    <phoneticPr fontId="2" type="noConversion"/>
  </si>
  <si>
    <t>I003</t>
    <phoneticPr fontId="2" type="noConversion"/>
  </si>
  <si>
    <t>V047</t>
    <phoneticPr fontId="2" type="noConversion"/>
  </si>
  <si>
    <t>케일</t>
    <phoneticPr fontId="2" type="noConversion"/>
  </si>
  <si>
    <t>Kale</t>
    <phoneticPr fontId="2" type="noConversion"/>
  </si>
  <si>
    <t>크랜베리</t>
    <phoneticPr fontId="2" type="noConversion"/>
  </si>
  <si>
    <t>Dried Cranberry</t>
    <phoneticPr fontId="2" type="noConversion"/>
  </si>
  <si>
    <t>V048</t>
    <phoneticPr fontId="2" type="noConversion"/>
  </si>
  <si>
    <t>I053</t>
  </si>
  <si>
    <t>V020</t>
    <phoneticPr fontId="2" type="noConversion"/>
  </si>
  <si>
    <t>V039</t>
    <phoneticPr fontId="2" type="noConversion"/>
  </si>
  <si>
    <t>S023</t>
    <phoneticPr fontId="2" type="noConversion"/>
  </si>
  <si>
    <t>I025</t>
    <phoneticPr fontId="2" type="noConversion"/>
  </si>
  <si>
    <t>O003</t>
    <phoneticPr fontId="2" type="noConversion"/>
  </si>
  <si>
    <t>V042</t>
    <phoneticPr fontId="2" type="noConversion"/>
  </si>
  <si>
    <t>케이준 허니 드레싱</t>
    <phoneticPr fontId="2" type="noConversion"/>
  </si>
  <si>
    <t>Cajun Honey Dressing</t>
    <phoneticPr fontId="2" type="noConversion"/>
  </si>
  <si>
    <t>I017</t>
    <phoneticPr fontId="2" type="noConversion"/>
  </si>
  <si>
    <t>CH012</t>
    <phoneticPr fontId="2" type="noConversion"/>
  </si>
  <si>
    <t>F001</t>
    <phoneticPr fontId="2" type="noConversion"/>
  </si>
  <si>
    <t>S002</t>
    <phoneticPr fontId="2" type="noConversion"/>
  </si>
  <si>
    <t>모짜렐라</t>
    <phoneticPr fontId="2" type="noConversion"/>
  </si>
  <si>
    <t>I008</t>
    <phoneticPr fontId="2" type="noConversion"/>
  </si>
  <si>
    <t>P001</t>
    <phoneticPr fontId="2" type="noConversion"/>
  </si>
  <si>
    <t>P021</t>
    <phoneticPr fontId="2" type="noConversion"/>
  </si>
  <si>
    <t>I006</t>
    <phoneticPr fontId="2" type="noConversion"/>
  </si>
  <si>
    <t>당면</t>
    <phoneticPr fontId="2" type="noConversion"/>
  </si>
  <si>
    <t>Glass Noodle</t>
    <phoneticPr fontId="2" type="noConversion"/>
  </si>
  <si>
    <t>S028</t>
    <phoneticPr fontId="2" type="noConversion"/>
  </si>
  <si>
    <t>Tortilla</t>
    <phoneticPr fontId="2" type="noConversion"/>
  </si>
  <si>
    <t>또띠아</t>
    <phoneticPr fontId="2" type="noConversion"/>
  </si>
  <si>
    <t>CH008</t>
    <phoneticPr fontId="2" type="noConversion"/>
  </si>
  <si>
    <t>CK001</t>
    <phoneticPr fontId="2" type="noConversion"/>
  </si>
  <si>
    <t>V016</t>
    <phoneticPr fontId="2" type="noConversion"/>
  </si>
  <si>
    <t>V011</t>
    <phoneticPr fontId="2" type="noConversion"/>
  </si>
  <si>
    <t>V041</t>
    <phoneticPr fontId="2" type="noConversion"/>
  </si>
  <si>
    <t>S001</t>
    <phoneticPr fontId="2" type="noConversion"/>
  </si>
  <si>
    <t>S003</t>
    <phoneticPr fontId="2" type="noConversion"/>
  </si>
  <si>
    <t>I027</t>
    <phoneticPr fontId="2" type="noConversion"/>
  </si>
  <si>
    <t>S029</t>
    <phoneticPr fontId="2" type="noConversion"/>
  </si>
  <si>
    <t>I013</t>
    <phoneticPr fontId="2" type="noConversion"/>
  </si>
  <si>
    <t>V049</t>
    <phoneticPr fontId="2" type="noConversion"/>
  </si>
  <si>
    <t>D004</t>
    <phoneticPr fontId="2" type="noConversion"/>
  </si>
  <si>
    <t>I041</t>
    <phoneticPr fontId="2" type="noConversion"/>
  </si>
  <si>
    <t>M015</t>
  </si>
  <si>
    <t>M016</t>
  </si>
  <si>
    <t>어니언링</t>
    <phoneticPr fontId="2" type="noConversion"/>
  </si>
  <si>
    <t>롱치즈스틱</t>
    <phoneticPr fontId="2" type="noConversion"/>
  </si>
  <si>
    <t>Long Cheese Stick</t>
    <phoneticPr fontId="2" type="noConversion"/>
  </si>
  <si>
    <t>Sales Volume</t>
    <phoneticPr fontId="2" type="noConversion"/>
  </si>
  <si>
    <t>COGS</t>
    <phoneticPr fontId="2" type="noConversion"/>
  </si>
  <si>
    <t>Estimated COGS (by Sales-mix)</t>
    <phoneticPr fontId="2" type="noConversion"/>
  </si>
  <si>
    <t>P003</t>
    <phoneticPr fontId="2" type="noConversion"/>
  </si>
  <si>
    <t>S005</t>
    <phoneticPr fontId="2" type="noConversion"/>
  </si>
  <si>
    <t>S010</t>
  </si>
  <si>
    <t>Garlic Flavour Honey Sauce</t>
    <phoneticPr fontId="2" type="noConversion"/>
  </si>
  <si>
    <t>S035</t>
  </si>
  <si>
    <t>S036</t>
  </si>
  <si>
    <t>S037</t>
  </si>
  <si>
    <t>S038</t>
  </si>
  <si>
    <t>S053</t>
  </si>
  <si>
    <t>S054</t>
  </si>
  <si>
    <t>V003</t>
  </si>
  <si>
    <t>I003</t>
  </si>
  <si>
    <t>I033</t>
  </si>
  <si>
    <t>I037</t>
  </si>
  <si>
    <t>I039</t>
  </si>
  <si>
    <t>I042</t>
  </si>
  <si>
    <t>I046</t>
  </si>
  <si>
    <t>I047</t>
  </si>
  <si>
    <t>I048</t>
  </si>
  <si>
    <t>I049</t>
  </si>
  <si>
    <t>I051</t>
  </si>
  <si>
    <t>I052</t>
  </si>
  <si>
    <t>I054</t>
  </si>
  <si>
    <t>I055</t>
  </si>
  <si>
    <t>I056</t>
  </si>
  <si>
    <t>F011</t>
  </si>
  <si>
    <t>F012</t>
  </si>
  <si>
    <t>F013</t>
  </si>
  <si>
    <t>D003</t>
  </si>
  <si>
    <t>Chicken weight  * 20%</t>
  </si>
  <si>
    <t>Chicken weight  * 1.2%</t>
  </si>
  <si>
    <t>Honey pepper Sauce</t>
    <phoneticPr fontId="2" type="noConversion"/>
  </si>
  <si>
    <t>Rec Price</t>
    <phoneticPr fontId="2" type="noConversion"/>
  </si>
  <si>
    <t>FOOD COST</t>
    <phoneticPr fontId="2" type="noConversion"/>
  </si>
  <si>
    <t>Jasoman Sauce</t>
    <phoneticPr fontId="2" type="noConversion"/>
  </si>
  <si>
    <t>스위트 칠리 소스</t>
    <phoneticPr fontId="2" type="noConversion"/>
  </si>
  <si>
    <t>Sweet Chili Sauce</t>
    <phoneticPr fontId="2" type="noConversion"/>
  </si>
  <si>
    <t>바게트</t>
    <phoneticPr fontId="2" type="noConversion"/>
  </si>
  <si>
    <t>Bargette</t>
    <phoneticPr fontId="2" type="noConversion"/>
  </si>
  <si>
    <t>생강</t>
    <phoneticPr fontId="2" type="noConversion"/>
  </si>
  <si>
    <t>Ginger</t>
    <phoneticPr fontId="2" type="noConversion"/>
  </si>
  <si>
    <t>샐러리</t>
    <phoneticPr fontId="2" type="noConversion"/>
  </si>
  <si>
    <t>Celery</t>
    <phoneticPr fontId="2" type="noConversion"/>
  </si>
  <si>
    <t>V050</t>
    <phoneticPr fontId="2" type="noConversion"/>
  </si>
  <si>
    <t>고수</t>
    <phoneticPr fontId="2" type="noConversion"/>
  </si>
  <si>
    <t>Corriender</t>
    <phoneticPr fontId="2" type="noConversion"/>
  </si>
  <si>
    <t>V051</t>
    <phoneticPr fontId="2" type="noConversion"/>
  </si>
  <si>
    <t>V052</t>
    <phoneticPr fontId="2" type="noConversion"/>
  </si>
  <si>
    <t>레몬</t>
    <phoneticPr fontId="2" type="noConversion"/>
  </si>
  <si>
    <t>Lemon</t>
    <phoneticPr fontId="2" type="noConversion"/>
  </si>
  <si>
    <t>Spring Oinion or leek</t>
    <phoneticPr fontId="2" type="noConversion"/>
  </si>
  <si>
    <t>냉동 양고기(BL)</t>
    <phoneticPr fontId="2" type="noConversion"/>
  </si>
  <si>
    <t>Boneless Lamb</t>
    <phoneticPr fontId="2" type="noConversion"/>
  </si>
  <si>
    <t>Dry Pasta (Fettucinn)</t>
    <phoneticPr fontId="2" type="noConversion"/>
  </si>
  <si>
    <t>M013</t>
    <phoneticPr fontId="2" type="noConversion"/>
  </si>
  <si>
    <t>M014</t>
    <phoneticPr fontId="2" type="noConversion"/>
  </si>
  <si>
    <t>Lamb Shank</t>
    <phoneticPr fontId="2" type="noConversion"/>
  </si>
  <si>
    <t>양다리</t>
    <phoneticPr fontId="2" type="noConversion"/>
  </si>
  <si>
    <t>V053</t>
    <phoneticPr fontId="2" type="noConversion"/>
  </si>
  <si>
    <t>컬리플라워</t>
    <phoneticPr fontId="2" type="noConversion"/>
  </si>
  <si>
    <t>Cauliflour</t>
    <phoneticPr fontId="2" type="noConversion"/>
  </si>
  <si>
    <t>어묵</t>
    <phoneticPr fontId="2" type="noConversion"/>
  </si>
  <si>
    <t>타르타르 소스</t>
    <phoneticPr fontId="2" type="noConversion"/>
  </si>
  <si>
    <t>Tartare Sauce</t>
    <phoneticPr fontId="2" type="noConversion"/>
  </si>
  <si>
    <t>피자 도우</t>
    <phoneticPr fontId="2" type="noConversion"/>
  </si>
  <si>
    <t>Pizza Dough</t>
    <phoneticPr fontId="2" type="noConversion"/>
  </si>
  <si>
    <t>Pizza Sauce (Tomato)</t>
    <phoneticPr fontId="2" type="noConversion"/>
  </si>
  <si>
    <t>썬 드라이드 토마토</t>
    <phoneticPr fontId="2" type="noConversion"/>
  </si>
  <si>
    <t>Sundried Tomato</t>
    <phoneticPr fontId="2" type="noConversion"/>
  </si>
  <si>
    <t>그린 올리브</t>
    <phoneticPr fontId="2" type="noConversion"/>
  </si>
  <si>
    <t>Green Olive</t>
    <phoneticPr fontId="2" type="noConversion"/>
  </si>
  <si>
    <t>V054</t>
    <phoneticPr fontId="2" type="noConversion"/>
  </si>
  <si>
    <t>V055</t>
    <phoneticPr fontId="2" type="noConversion"/>
  </si>
  <si>
    <t>타이페이스트</t>
    <phoneticPr fontId="2" type="noConversion"/>
  </si>
  <si>
    <t>Thai Red Curry paste</t>
    <phoneticPr fontId="2" type="noConversion"/>
  </si>
  <si>
    <t>양 민찌</t>
    <phoneticPr fontId="2" type="noConversion"/>
  </si>
  <si>
    <t>Lamb Minced</t>
    <phoneticPr fontId="2" type="noConversion"/>
  </si>
  <si>
    <t>밀가루</t>
    <phoneticPr fontId="2" type="noConversion"/>
  </si>
  <si>
    <t>Flour</t>
    <phoneticPr fontId="2" type="noConversion"/>
  </si>
  <si>
    <t>V056</t>
    <phoneticPr fontId="2" type="noConversion"/>
  </si>
  <si>
    <t>깻잎</t>
    <phoneticPr fontId="2" type="noConversion"/>
  </si>
  <si>
    <t>Perilla leaf</t>
    <phoneticPr fontId="2" type="noConversion"/>
  </si>
  <si>
    <t>V057</t>
    <phoneticPr fontId="2" type="noConversion"/>
  </si>
  <si>
    <t>페퍼런치노</t>
    <phoneticPr fontId="2" type="noConversion"/>
  </si>
  <si>
    <t>Pepperancino</t>
    <phoneticPr fontId="2" type="noConversion"/>
  </si>
  <si>
    <t>V058</t>
    <phoneticPr fontId="2" type="noConversion"/>
  </si>
  <si>
    <t>로즈마리</t>
    <phoneticPr fontId="2" type="noConversion"/>
  </si>
  <si>
    <t>Rosemary</t>
    <phoneticPr fontId="2" type="noConversion"/>
  </si>
  <si>
    <t>V059</t>
    <phoneticPr fontId="2" type="noConversion"/>
  </si>
  <si>
    <t>우엉</t>
    <phoneticPr fontId="2" type="noConversion"/>
  </si>
  <si>
    <t>Burdock</t>
    <phoneticPr fontId="2" type="noConversion"/>
  </si>
  <si>
    <t>청양고추</t>
    <phoneticPr fontId="2" type="noConversion"/>
  </si>
  <si>
    <t xml:space="preserve">Spicy chilli </t>
    <phoneticPr fontId="2" type="noConversion"/>
  </si>
  <si>
    <t>다진 소고기</t>
    <phoneticPr fontId="2" type="noConversion"/>
  </si>
  <si>
    <t>Beef (Minced)</t>
    <phoneticPr fontId="2" type="noConversion"/>
  </si>
  <si>
    <t>치즈볼(BBQ)</t>
    <phoneticPr fontId="2" type="noConversion"/>
  </si>
  <si>
    <t>Cheese Ball(BBQ)</t>
    <phoneticPr fontId="2" type="noConversion"/>
  </si>
  <si>
    <t>초코볼(BBQ)</t>
    <phoneticPr fontId="2" type="noConversion"/>
  </si>
  <si>
    <t>Choco Ball (BBQ)</t>
    <phoneticPr fontId="2" type="noConversion"/>
  </si>
  <si>
    <t>애플치즈볼(BBQ)</t>
    <phoneticPr fontId="2" type="noConversion"/>
  </si>
  <si>
    <t>Apple Cheese Ball</t>
    <phoneticPr fontId="2" type="noConversion"/>
  </si>
  <si>
    <t>오징어스틱(BBQ)</t>
    <phoneticPr fontId="2" type="noConversion"/>
  </si>
  <si>
    <t>멘보샤(BBQ)</t>
    <phoneticPr fontId="2" type="noConversion"/>
  </si>
  <si>
    <t>Squid Stick (BBQ)</t>
    <phoneticPr fontId="2" type="noConversion"/>
  </si>
  <si>
    <t>Shrimp Toast (BBQ)</t>
    <phoneticPr fontId="2" type="noConversion"/>
  </si>
  <si>
    <t>새우스틱(BBQ)</t>
    <phoneticPr fontId="2" type="noConversion"/>
  </si>
  <si>
    <t>Shrimp Stick (BBQ)</t>
    <phoneticPr fontId="2" type="noConversion"/>
  </si>
  <si>
    <t>F014</t>
  </si>
  <si>
    <t>F015</t>
  </si>
  <si>
    <t>F016</t>
    <phoneticPr fontId="2" type="noConversion"/>
  </si>
  <si>
    <t>김말이</t>
    <phoneticPr fontId="2" type="noConversion"/>
  </si>
  <si>
    <t>Deep-Fried Laver Roll</t>
    <phoneticPr fontId="2" type="noConversion"/>
  </si>
  <si>
    <t>500g</t>
    <phoneticPr fontId="2" type="noConversion"/>
  </si>
  <si>
    <t>홍합</t>
    <phoneticPr fontId="2" type="noConversion"/>
  </si>
  <si>
    <t>Mussel</t>
    <phoneticPr fontId="2" type="noConversion"/>
  </si>
  <si>
    <t>오징어</t>
    <phoneticPr fontId="2" type="noConversion"/>
  </si>
  <si>
    <t>Squid</t>
    <phoneticPr fontId="2" type="noConversion"/>
  </si>
  <si>
    <t>국간장</t>
    <phoneticPr fontId="2" type="noConversion"/>
  </si>
  <si>
    <t>Soup Soy Sauce</t>
    <phoneticPr fontId="2" type="noConversion"/>
  </si>
  <si>
    <t>S030</t>
    <phoneticPr fontId="2" type="noConversion"/>
  </si>
  <si>
    <t>S055</t>
  </si>
  <si>
    <t>S056</t>
  </si>
  <si>
    <t>S057</t>
  </si>
  <si>
    <t>S058</t>
    <phoneticPr fontId="2" type="noConversion"/>
  </si>
  <si>
    <t>I058</t>
    <phoneticPr fontId="2" type="noConversion"/>
  </si>
  <si>
    <t>후리가케</t>
    <phoneticPr fontId="2" type="noConversion"/>
  </si>
  <si>
    <t>Furigake</t>
    <phoneticPr fontId="2" type="noConversion"/>
  </si>
  <si>
    <t>Chicken Stock</t>
    <phoneticPr fontId="2" type="noConversion"/>
  </si>
  <si>
    <t>간장(진)</t>
    <phoneticPr fontId="2" type="noConversion"/>
  </si>
  <si>
    <t>BBQ양념소스</t>
    <phoneticPr fontId="2" type="noConversion"/>
  </si>
  <si>
    <t>BBQ New Yangnyum Sauce</t>
    <phoneticPr fontId="2" type="noConversion"/>
  </si>
  <si>
    <t>2kg*5pack</t>
    <phoneticPr fontId="2" type="noConversion"/>
  </si>
  <si>
    <t>레몬보이</t>
    <phoneticPr fontId="2" type="noConversion"/>
  </si>
  <si>
    <t>Lemon Boi</t>
    <phoneticPr fontId="2" type="noConversion"/>
  </si>
  <si>
    <t>30ea</t>
    <phoneticPr fontId="2" type="noConversion"/>
  </si>
  <si>
    <t>ea</t>
    <phoneticPr fontId="2" type="noConversion"/>
  </si>
  <si>
    <t>메이플버터갈릭소스</t>
    <phoneticPr fontId="2" type="noConversion"/>
  </si>
  <si>
    <t>Maple Butter Garlic Sauce</t>
    <phoneticPr fontId="2" type="noConversion"/>
  </si>
  <si>
    <t>2kg*5bag</t>
    <phoneticPr fontId="2" type="noConversion"/>
  </si>
  <si>
    <t>15g*50pack*5bag</t>
    <phoneticPr fontId="2" type="noConversion"/>
  </si>
  <si>
    <t>I057</t>
  </si>
  <si>
    <t>I059</t>
    <phoneticPr fontId="2" type="noConversion"/>
  </si>
  <si>
    <t>넓적당면</t>
    <phoneticPr fontId="2" type="noConversion"/>
  </si>
  <si>
    <t>Wide Noddles</t>
    <phoneticPr fontId="2" type="noConversion"/>
  </si>
  <si>
    <t>I060</t>
    <phoneticPr fontId="2" type="noConversion"/>
  </si>
  <si>
    <t>I061</t>
    <phoneticPr fontId="2" type="noConversion"/>
  </si>
  <si>
    <t>단무지</t>
    <phoneticPr fontId="2" type="noConversion"/>
  </si>
  <si>
    <t>Pickled Yellow Radish</t>
    <phoneticPr fontId="2" type="noConversion"/>
  </si>
  <si>
    <t>김밥김</t>
    <phoneticPr fontId="2" type="noConversion"/>
  </si>
  <si>
    <t>Gimbap Seaweed</t>
    <phoneticPr fontId="2" type="noConversion"/>
  </si>
  <si>
    <t>라면 사리</t>
    <phoneticPr fontId="2" type="noConversion"/>
  </si>
  <si>
    <t xml:space="preserve"> Golden Fried Chicken (Bone-in) - 8pcs </t>
    <phoneticPr fontId="2" type="noConversion"/>
  </si>
  <si>
    <t>P012</t>
  </si>
  <si>
    <t>I034</t>
    <phoneticPr fontId="2" type="noConversion"/>
  </si>
  <si>
    <t>Chicken weight * 20%</t>
    <phoneticPr fontId="2" type="noConversion"/>
  </si>
  <si>
    <t>REMARK</t>
    <phoneticPr fontId="2" type="noConversion"/>
  </si>
  <si>
    <t>F005</t>
    <phoneticPr fontId="2" type="noConversion"/>
  </si>
  <si>
    <t>F005</t>
    <phoneticPr fontId="2" type="noConversion"/>
  </si>
  <si>
    <t>F013</t>
    <phoneticPr fontId="2" type="noConversion"/>
  </si>
  <si>
    <t>30g*50ea*6bag</t>
    <phoneticPr fontId="2" type="noConversion"/>
  </si>
  <si>
    <t>60g*30ea*6bag</t>
    <phoneticPr fontId="2" type="noConversion"/>
  </si>
  <si>
    <t>Coleslaw</t>
    <phoneticPr fontId="2" type="noConversion"/>
  </si>
  <si>
    <t>Seaweed Roll</t>
    <phoneticPr fontId="2" type="noConversion"/>
  </si>
  <si>
    <t xml:space="preserve"> </t>
    <phoneticPr fontId="2" type="noConversion"/>
  </si>
  <si>
    <t>냉동새우 (20미)</t>
    <phoneticPr fontId="2" type="noConversion"/>
  </si>
  <si>
    <t>g</t>
  </si>
  <si>
    <t>F017</t>
    <phoneticPr fontId="2" type="noConversion"/>
  </si>
  <si>
    <t>F018</t>
    <phoneticPr fontId="2" type="noConversion"/>
  </si>
  <si>
    <t>F019</t>
    <phoneticPr fontId="2" type="noConversion"/>
  </si>
  <si>
    <t xml:space="preserve">비비고 왕교자 </t>
    <phoneticPr fontId="2" type="noConversion"/>
  </si>
  <si>
    <t>만두 (고향만두)</t>
    <phoneticPr fontId="2" type="noConversion"/>
  </si>
  <si>
    <t>F020</t>
    <phoneticPr fontId="2" type="noConversion"/>
  </si>
  <si>
    <t>비비고 왕새우 교자</t>
    <phoneticPr fontId="2" type="noConversion"/>
  </si>
  <si>
    <t>비비고 김치 왕교자</t>
    <phoneticPr fontId="2" type="noConversion"/>
  </si>
  <si>
    <t>비비고 갈비 왕교자</t>
    <phoneticPr fontId="2" type="noConversion"/>
  </si>
  <si>
    <t>Bibigo dumpling</t>
    <phoneticPr fontId="2" type="noConversion"/>
  </si>
  <si>
    <t>Bibigo Shrimp dumpling</t>
    <phoneticPr fontId="2" type="noConversion"/>
  </si>
  <si>
    <t>Bibigo Kimchi dumpling</t>
    <phoneticPr fontId="2" type="noConversion"/>
  </si>
  <si>
    <t>Bibigo Galbi dumpling</t>
    <phoneticPr fontId="2" type="noConversion"/>
  </si>
  <si>
    <t>V060</t>
    <phoneticPr fontId="2" type="noConversion"/>
  </si>
  <si>
    <t>커리</t>
  </si>
  <si>
    <t>Curry</t>
  </si>
  <si>
    <t>V061</t>
    <phoneticPr fontId="2" type="noConversion"/>
  </si>
  <si>
    <t>V062</t>
    <phoneticPr fontId="2" type="noConversion"/>
  </si>
  <si>
    <t>삶은 고사리</t>
    <phoneticPr fontId="2" type="noConversion"/>
  </si>
  <si>
    <t>Boiled Bracken</t>
    <phoneticPr fontId="2" type="noConversion"/>
  </si>
  <si>
    <t>마요네즈</t>
  </si>
  <si>
    <t>Mayonnaise</t>
  </si>
  <si>
    <t>S040</t>
    <phoneticPr fontId="2" type="noConversion"/>
  </si>
  <si>
    <t>트러플 페스토</t>
    <phoneticPr fontId="2" type="noConversion"/>
  </si>
  <si>
    <t>Truffle Pasto</t>
    <phoneticPr fontId="2" type="noConversion"/>
  </si>
  <si>
    <t>V024</t>
    <phoneticPr fontId="2" type="noConversion"/>
  </si>
  <si>
    <t>M016</t>
    <phoneticPr fontId="2" type="noConversion"/>
  </si>
  <si>
    <t>S027</t>
    <phoneticPr fontId="2" type="noConversion"/>
  </si>
  <si>
    <t>CK019</t>
    <phoneticPr fontId="2" type="noConversion"/>
  </si>
  <si>
    <t>떡볶이소스</t>
    <phoneticPr fontId="2" type="noConversion"/>
  </si>
  <si>
    <t>Tteokbokki Sauce</t>
    <phoneticPr fontId="2" type="noConversion"/>
  </si>
  <si>
    <t>신선육 (1kg)</t>
    <phoneticPr fontId="2" type="noConversion"/>
  </si>
  <si>
    <t>Whole chicken (Non-injected)</t>
    <phoneticPr fontId="2" type="noConversion"/>
  </si>
  <si>
    <t>CH013</t>
    <phoneticPr fontId="2" type="noConversion"/>
  </si>
  <si>
    <t>닭 살(곰탕용)</t>
    <phoneticPr fontId="2" type="noConversion"/>
  </si>
  <si>
    <t xml:space="preserve">Shradded Whole Chicken </t>
    <phoneticPr fontId="2" type="noConversion"/>
  </si>
  <si>
    <t>I062</t>
    <phoneticPr fontId="2" type="noConversion"/>
  </si>
  <si>
    <t>오레가노</t>
    <phoneticPr fontId="2" type="noConversion"/>
  </si>
  <si>
    <t>Oregano</t>
    <phoneticPr fontId="2" type="noConversion"/>
  </si>
  <si>
    <t>칼국수</t>
    <phoneticPr fontId="2" type="noConversion"/>
  </si>
  <si>
    <t>I063</t>
    <phoneticPr fontId="2" type="noConversion"/>
  </si>
  <si>
    <t>Kalguksu Noodle</t>
    <phoneticPr fontId="2" type="noConversion"/>
  </si>
  <si>
    <t>CK011</t>
    <phoneticPr fontId="2" type="noConversion"/>
  </si>
  <si>
    <t>F001</t>
    <phoneticPr fontId="2" type="noConversion"/>
  </si>
  <si>
    <t>F013</t>
    <phoneticPr fontId="2" type="noConversion"/>
  </si>
  <si>
    <t>F005</t>
    <phoneticPr fontId="2" type="noConversion"/>
  </si>
  <si>
    <t>F016</t>
    <phoneticPr fontId="2" type="noConversion"/>
  </si>
  <si>
    <t>I054</t>
    <phoneticPr fontId="2" type="noConversion"/>
  </si>
  <si>
    <t>F014</t>
    <phoneticPr fontId="2" type="noConversion"/>
  </si>
  <si>
    <t>V063</t>
    <phoneticPr fontId="2" type="noConversion"/>
  </si>
  <si>
    <t>월계수</t>
    <phoneticPr fontId="2" type="noConversion"/>
  </si>
  <si>
    <t>Bay leaves</t>
    <phoneticPr fontId="2" type="noConversion"/>
  </si>
  <si>
    <t>나쵸 치즈</t>
    <phoneticPr fontId="2" type="noConversion"/>
  </si>
  <si>
    <t>Nacho Cheese</t>
    <phoneticPr fontId="2" type="noConversion"/>
  </si>
  <si>
    <t>S039</t>
    <phoneticPr fontId="2" type="noConversion"/>
  </si>
  <si>
    <t>CK019</t>
  </si>
  <si>
    <t>CK026</t>
    <phoneticPr fontId="2" type="noConversion"/>
  </si>
  <si>
    <t>불고기용 소고기(양지)</t>
    <phoneticPr fontId="2" type="noConversion"/>
  </si>
  <si>
    <t>피자치즈 (믹스)</t>
    <phoneticPr fontId="2" type="noConversion"/>
  </si>
  <si>
    <t>pizza Cheese (Mix)</t>
    <phoneticPr fontId="2" type="noConversion"/>
  </si>
  <si>
    <t>황금치즈볼(BBQ)</t>
    <phoneticPr fontId="2" type="noConversion"/>
  </si>
  <si>
    <t>Golden Cheese Ball (BBQ)</t>
    <phoneticPr fontId="2" type="noConversion"/>
  </si>
  <si>
    <t>V052</t>
  </si>
  <si>
    <t>PRICE(IRP)</t>
    <phoneticPr fontId="2" type="noConversion"/>
  </si>
  <si>
    <t>1Kg*10pack</t>
  </si>
  <si>
    <t>1 $ =</t>
  </si>
  <si>
    <t>S059</t>
    <phoneticPr fontId="2" type="noConversion"/>
  </si>
  <si>
    <t>불닭소스</t>
    <phoneticPr fontId="2" type="noConversion"/>
  </si>
  <si>
    <t>Buldak Sauce</t>
    <phoneticPr fontId="2" type="noConversion"/>
  </si>
  <si>
    <t>1.3kg</t>
    <phoneticPr fontId="2" type="noConversion"/>
  </si>
  <si>
    <t>1Kg</t>
  </si>
  <si>
    <t>1kg</t>
    <phoneticPr fontId="2" type="noConversion"/>
  </si>
  <si>
    <t>CH014</t>
    <phoneticPr fontId="2" type="noConversion"/>
  </si>
  <si>
    <t>닭 껍질</t>
    <phoneticPr fontId="2" type="noConversion"/>
  </si>
  <si>
    <t>Chicken skin</t>
    <phoneticPr fontId="2" type="noConversion"/>
  </si>
  <si>
    <t>1kg</t>
  </si>
  <si>
    <t>O009</t>
    <phoneticPr fontId="2" type="noConversion"/>
  </si>
  <si>
    <t>팜유</t>
    <phoneticPr fontId="2" type="noConversion"/>
  </si>
  <si>
    <t>Palm Oil</t>
    <phoneticPr fontId="2" type="noConversion"/>
  </si>
  <si>
    <t>5kg*1pack</t>
    <phoneticPr fontId="2" type="noConversion"/>
  </si>
  <si>
    <t>MSG(Ajinomoto)</t>
    <phoneticPr fontId="2" type="noConversion"/>
  </si>
  <si>
    <t>I064</t>
    <phoneticPr fontId="2" type="noConversion"/>
  </si>
  <si>
    <t>마늘칩</t>
    <phoneticPr fontId="2" type="noConversion"/>
  </si>
  <si>
    <t>Garlic Chip</t>
    <phoneticPr fontId="2" type="noConversion"/>
  </si>
  <si>
    <t>473 ml</t>
  </si>
  <si>
    <t>바닐라 아이스크림</t>
    <phoneticPr fontId="2" type="noConversion"/>
  </si>
  <si>
    <t>Vanila Ice Cream</t>
    <phoneticPr fontId="2" type="noConversion"/>
  </si>
  <si>
    <t>초코 아이스크림</t>
    <phoneticPr fontId="2" type="noConversion"/>
  </si>
  <si>
    <t>Chocolate Ice Cream</t>
    <phoneticPr fontId="2" type="noConversion"/>
  </si>
  <si>
    <t xml:space="preserve">1kg </t>
  </si>
  <si>
    <t>딸기 시럽</t>
    <phoneticPr fontId="2" type="noConversion"/>
  </si>
  <si>
    <t>Strawberry Syrup</t>
    <phoneticPr fontId="2" type="noConversion"/>
  </si>
  <si>
    <t>오레오 크럼블</t>
    <phoneticPr fontId="2" type="noConversion"/>
  </si>
  <si>
    <t>Oreo Crumble</t>
    <phoneticPr fontId="2" type="noConversion"/>
  </si>
  <si>
    <t>콘 플레이크</t>
    <phoneticPr fontId="2" type="noConversion"/>
  </si>
  <si>
    <t>Corn Flake</t>
    <phoneticPr fontId="2" type="noConversion"/>
  </si>
  <si>
    <t>땅콩 버터</t>
    <phoneticPr fontId="2" type="noConversion"/>
  </si>
  <si>
    <t>Peanut Butter</t>
    <phoneticPr fontId="2" type="noConversion"/>
  </si>
  <si>
    <t>I065</t>
  </si>
  <si>
    <t>I066</t>
  </si>
  <si>
    <t>I067</t>
  </si>
  <si>
    <t>I068</t>
  </si>
  <si>
    <t>I069</t>
  </si>
  <si>
    <t>연유</t>
    <phoneticPr fontId="2" type="noConversion"/>
  </si>
  <si>
    <t>Condensed Milk</t>
    <phoneticPr fontId="2" type="noConversion"/>
  </si>
  <si>
    <t>I071</t>
  </si>
  <si>
    <t>I072</t>
  </si>
  <si>
    <t>g</t>
    <phoneticPr fontId="2" type="noConversion"/>
  </si>
  <si>
    <t>핫도그</t>
    <phoneticPr fontId="2" type="noConversion"/>
  </si>
  <si>
    <t>Hot Corn dog</t>
    <phoneticPr fontId="2" type="noConversion"/>
  </si>
  <si>
    <t>360g</t>
  </si>
  <si>
    <t>붕어빵</t>
    <phoneticPr fontId="2" type="noConversion"/>
  </si>
  <si>
    <t>Mini Red Bean Fish Bread</t>
    <phoneticPr fontId="2" type="noConversion"/>
  </si>
  <si>
    <t>330g</t>
  </si>
  <si>
    <t>치킨 너겟</t>
    <phoneticPr fontId="2" type="noConversion"/>
  </si>
  <si>
    <t>Chicken Nugget</t>
    <phoneticPr fontId="2" type="noConversion"/>
  </si>
  <si>
    <t>팝콘치킨</t>
    <phoneticPr fontId="2" type="noConversion"/>
  </si>
  <si>
    <t>Popcorn Chicken</t>
    <phoneticPr fontId="2" type="noConversion"/>
  </si>
  <si>
    <t>F021</t>
    <phoneticPr fontId="2" type="noConversion"/>
  </si>
  <si>
    <t>F022</t>
    <phoneticPr fontId="2" type="noConversion"/>
  </si>
  <si>
    <t>F023</t>
    <phoneticPr fontId="2" type="noConversion"/>
  </si>
  <si>
    <t>F024</t>
    <phoneticPr fontId="2" type="noConversion"/>
  </si>
  <si>
    <t>F025</t>
    <phoneticPr fontId="2" type="noConversion"/>
  </si>
  <si>
    <t>15g*24ea</t>
    <phoneticPr fontId="2" type="noConversion"/>
  </si>
  <si>
    <t>PK025</t>
    <phoneticPr fontId="2" type="noConversion"/>
  </si>
  <si>
    <t>콤보 패키지</t>
    <phoneticPr fontId="2" type="noConversion"/>
  </si>
  <si>
    <t>Combo Package</t>
    <phoneticPr fontId="2" type="noConversion"/>
  </si>
  <si>
    <t>1ea</t>
  </si>
  <si>
    <t>컵밥 패키지</t>
    <phoneticPr fontId="2" type="noConversion"/>
  </si>
  <si>
    <t>Cupbap Package</t>
    <phoneticPr fontId="2" type="noConversion"/>
  </si>
  <si>
    <t>1ea</t>
    <phoneticPr fontId="2" type="noConversion"/>
  </si>
  <si>
    <t>치킨 패키지(반마리)</t>
    <phoneticPr fontId="2" type="noConversion"/>
  </si>
  <si>
    <t>Chicken Package(Half)</t>
    <phoneticPr fontId="2" type="noConversion"/>
  </si>
  <si>
    <t>사이드 패키지</t>
    <phoneticPr fontId="2" type="noConversion"/>
  </si>
  <si>
    <t>Side Package</t>
    <phoneticPr fontId="2" type="noConversion"/>
  </si>
  <si>
    <t>샐러드 패키지(8oz)</t>
    <phoneticPr fontId="2" type="noConversion"/>
  </si>
  <si>
    <t>Salad Package(8oz)</t>
    <phoneticPr fontId="2" type="noConversion"/>
  </si>
  <si>
    <t>음료 패키지(16oz)</t>
    <phoneticPr fontId="2" type="noConversion"/>
  </si>
  <si>
    <t>Drink Package(16oz)</t>
    <phoneticPr fontId="2" type="noConversion"/>
  </si>
  <si>
    <t>꼬꼬콜 뚜껑</t>
    <phoneticPr fontId="2" type="noConversion"/>
  </si>
  <si>
    <t>Coco-cole Lid</t>
    <phoneticPr fontId="2" type="noConversion"/>
  </si>
  <si>
    <t>유산지</t>
    <phoneticPr fontId="2" type="noConversion"/>
  </si>
  <si>
    <t>Parchment Paper</t>
    <phoneticPr fontId="2" type="noConversion"/>
  </si>
  <si>
    <t>종이쇼핑백(소)</t>
    <phoneticPr fontId="2" type="noConversion"/>
  </si>
  <si>
    <t>Paper Bag(Small)</t>
    <phoneticPr fontId="2" type="noConversion"/>
  </si>
  <si>
    <t>종이쇼핑백(중)</t>
    <phoneticPr fontId="2" type="noConversion"/>
  </si>
  <si>
    <t>Paper Bag(Medium)</t>
    <phoneticPr fontId="2" type="noConversion"/>
  </si>
  <si>
    <t>1pack</t>
  </si>
  <si>
    <t>100ea</t>
    <phoneticPr fontId="2" type="noConversion"/>
  </si>
  <si>
    <t>PK026</t>
    <phoneticPr fontId="2" type="noConversion"/>
  </si>
  <si>
    <t>PK027</t>
  </si>
  <si>
    <t>PK028</t>
  </si>
  <si>
    <t>PK029</t>
  </si>
  <si>
    <t>PK030</t>
  </si>
  <si>
    <t>PK031</t>
  </si>
  <si>
    <t>PK032</t>
  </si>
  <si>
    <t>PK033</t>
  </si>
  <si>
    <t>PK034</t>
  </si>
  <si>
    <t>PK035</t>
  </si>
  <si>
    <t>탄산음료</t>
    <phoneticPr fontId="2" type="noConversion"/>
  </si>
  <si>
    <t>Soft Drink</t>
    <phoneticPr fontId="2" type="noConversion"/>
  </si>
  <si>
    <t>g</t>
    <phoneticPr fontId="2" type="noConversion"/>
  </si>
  <si>
    <t>D001</t>
    <phoneticPr fontId="2" type="noConversion"/>
  </si>
  <si>
    <r>
      <t xml:space="preserve">신선육 </t>
    </r>
    <r>
      <rPr>
        <sz val="10"/>
        <color rgb="FFC00000"/>
        <rFont val="Calibri"/>
        <family val="3"/>
        <charset val="129"/>
        <scheme val="minor"/>
      </rPr>
      <t>(1.3kg)</t>
    </r>
    <phoneticPr fontId="2" type="noConversion"/>
  </si>
  <si>
    <r>
      <t xml:space="preserve">Injected Whole Chicken </t>
    </r>
    <r>
      <rPr>
        <sz val="10"/>
        <color rgb="FFC00000"/>
        <rFont val="Calibri"/>
        <family val="3"/>
        <charset val="129"/>
        <scheme val="minor"/>
      </rPr>
      <t>(1.3kg)</t>
    </r>
    <phoneticPr fontId="2" type="noConversion"/>
  </si>
  <si>
    <t>I001</t>
    <phoneticPr fontId="2" type="noConversion"/>
  </si>
  <si>
    <t>V008</t>
    <phoneticPr fontId="2" type="noConversion"/>
  </si>
  <si>
    <t>CK028</t>
    <phoneticPr fontId="2" type="noConversion"/>
  </si>
  <si>
    <t>공기밥</t>
    <phoneticPr fontId="2" type="noConversion"/>
  </si>
  <si>
    <t>Steamed Rice</t>
    <phoneticPr fontId="2" type="noConversion"/>
  </si>
  <si>
    <t>O009</t>
    <phoneticPr fontId="2" type="noConversion"/>
  </si>
  <si>
    <t>Chicken weight  * 17.5%</t>
    <phoneticPr fontId="2" type="noConversion"/>
  </si>
  <si>
    <t>Chicken weight  * 1.2%</t>
    <phoneticPr fontId="2" type="noConversion"/>
  </si>
  <si>
    <t>Chicken weight  * 20%</t>
    <phoneticPr fontId="2" type="noConversion"/>
  </si>
  <si>
    <t>PK025</t>
  </si>
  <si>
    <t>GFC Rice Combo(2pcs)</t>
    <phoneticPr fontId="2" type="noConversion"/>
  </si>
  <si>
    <t>PACKAGE</t>
    <phoneticPr fontId="2" type="noConversion"/>
  </si>
  <si>
    <t>Hot Spicy Rice Combo(2pcs)</t>
    <phoneticPr fontId="2" type="noConversion"/>
  </si>
  <si>
    <t>Chicken weight  * 6%</t>
    <phoneticPr fontId="2" type="noConversion"/>
  </si>
  <si>
    <t>CK029</t>
    <phoneticPr fontId="2" type="noConversion"/>
  </si>
  <si>
    <t>레몬시럽</t>
    <phoneticPr fontId="2" type="noConversion"/>
  </si>
  <si>
    <t>Lemon Syrup</t>
    <phoneticPr fontId="2" type="noConversion"/>
  </si>
  <si>
    <t>I041</t>
    <phoneticPr fontId="2" type="noConversion"/>
  </si>
  <si>
    <t>Chicken weight  * 10%</t>
    <phoneticPr fontId="2" type="noConversion"/>
  </si>
  <si>
    <t>I072</t>
    <phoneticPr fontId="2" type="noConversion"/>
  </si>
  <si>
    <t>I005</t>
    <phoneticPr fontId="2" type="noConversion"/>
  </si>
  <si>
    <t>I070</t>
    <phoneticPr fontId="2" type="noConversion"/>
  </si>
  <si>
    <t>CK030</t>
    <phoneticPr fontId="2" type="noConversion"/>
  </si>
  <si>
    <t>땅콩소스</t>
    <phoneticPr fontId="2" type="noConversion"/>
  </si>
  <si>
    <t>Peanut Sauce</t>
    <phoneticPr fontId="2" type="noConversion"/>
  </si>
  <si>
    <t>땅콩버터</t>
    <phoneticPr fontId="2" type="noConversion"/>
  </si>
  <si>
    <t>Peanut Butter</t>
    <phoneticPr fontId="2" type="noConversion"/>
  </si>
  <si>
    <t>소이갈릭용소스</t>
    <phoneticPr fontId="2" type="noConversion"/>
  </si>
  <si>
    <t>Garlic Flavor Sauce</t>
    <phoneticPr fontId="2" type="noConversion"/>
  </si>
  <si>
    <t>CK031</t>
    <phoneticPr fontId="2" type="noConversion"/>
  </si>
  <si>
    <t>F001</t>
    <phoneticPr fontId="2" type="noConversion"/>
  </si>
  <si>
    <t>CH015</t>
    <phoneticPr fontId="2" type="noConversion"/>
  </si>
  <si>
    <t>VAP 순살</t>
    <phoneticPr fontId="2" type="noConversion"/>
  </si>
  <si>
    <t>VAP Boneless Chicken</t>
    <phoneticPr fontId="2" type="noConversion"/>
  </si>
  <si>
    <t>1kg</t>
    <phoneticPr fontId="2" type="noConversion"/>
  </si>
  <si>
    <t>GFC Rice Combo(1pc)</t>
    <phoneticPr fontId="2" type="noConversion"/>
  </si>
  <si>
    <t>Golden Fried Chicken(1pc)</t>
    <phoneticPr fontId="2" type="noConversion"/>
  </si>
  <si>
    <t>10L</t>
    <phoneticPr fontId="2" type="noConversion"/>
  </si>
  <si>
    <t>CH016</t>
    <phoneticPr fontId="2" type="noConversion"/>
  </si>
  <si>
    <t>VAP 속안심</t>
    <phoneticPr fontId="2" type="noConversion"/>
  </si>
  <si>
    <t>VAP Chicken Tender</t>
    <phoneticPr fontId="2" type="noConversion"/>
  </si>
  <si>
    <t>Coco-cole</t>
    <phoneticPr fontId="2" type="noConversion"/>
  </si>
  <si>
    <t>I001</t>
  </si>
  <si>
    <t>Cheeseball</t>
    <phoneticPr fontId="2" type="noConversion"/>
  </si>
  <si>
    <t>Chicken Skin</t>
    <phoneticPr fontId="2" type="noConversion"/>
  </si>
  <si>
    <t>Corn Dog</t>
    <phoneticPr fontId="2" type="noConversion"/>
  </si>
  <si>
    <t>Fish Bread</t>
    <phoneticPr fontId="2" type="noConversion"/>
  </si>
  <si>
    <t>Weight  * 20%</t>
    <phoneticPr fontId="2" type="noConversion"/>
  </si>
  <si>
    <t>Chicken Weight * 20%</t>
    <phoneticPr fontId="2" type="noConversion"/>
  </si>
  <si>
    <t>Weight * 20%</t>
    <phoneticPr fontId="2" type="noConversion"/>
  </si>
  <si>
    <t>Japchae</t>
    <phoneticPr fontId="2" type="noConversion"/>
  </si>
  <si>
    <t>목이버섯</t>
    <phoneticPr fontId="2" type="noConversion"/>
  </si>
  <si>
    <t>Ear Mushroom</t>
    <phoneticPr fontId="2" type="noConversion"/>
  </si>
  <si>
    <t>CK032</t>
    <phoneticPr fontId="2" type="noConversion"/>
  </si>
  <si>
    <t>잡체 소스</t>
    <phoneticPr fontId="2" type="noConversion"/>
  </si>
  <si>
    <t>Japchae Sauce</t>
    <phoneticPr fontId="2" type="noConversion"/>
  </si>
  <si>
    <t>UNIT PRICE(IRP)</t>
    <phoneticPr fontId="2" type="noConversion"/>
  </si>
  <si>
    <t>1.8L</t>
    <phoneticPr fontId="2" type="noConversion"/>
  </si>
  <si>
    <t>60g</t>
    <phoneticPr fontId="2" type="noConversion"/>
  </si>
  <si>
    <t>F026</t>
    <phoneticPr fontId="2" type="noConversion"/>
  </si>
  <si>
    <t>치킨텐더</t>
    <phoneticPr fontId="2" type="noConversion"/>
  </si>
  <si>
    <t>Fried Chicken Tender</t>
    <phoneticPr fontId="2" type="noConversion"/>
  </si>
  <si>
    <t>PK033</t>
    <phoneticPr fontId="2" type="noConversion"/>
  </si>
  <si>
    <t>500ml</t>
    <phoneticPr fontId="2" type="noConversion"/>
  </si>
  <si>
    <t>300g</t>
    <phoneticPr fontId="2" type="noConversion"/>
  </si>
  <si>
    <t>200g</t>
    <phoneticPr fontId="2" type="noConversion"/>
  </si>
  <si>
    <t>O010</t>
    <phoneticPr fontId="2" type="noConversion"/>
  </si>
  <si>
    <t>Chili Oil</t>
    <phoneticPr fontId="2" type="noConversion"/>
  </si>
  <si>
    <t>420g</t>
    <phoneticPr fontId="2" type="noConversion"/>
  </si>
  <si>
    <t>3kg</t>
    <phoneticPr fontId="2" type="noConversion"/>
  </si>
  <si>
    <t>800g</t>
    <phoneticPr fontId="2" type="noConversion"/>
  </si>
  <si>
    <t>545g</t>
    <phoneticPr fontId="2" type="noConversion"/>
  </si>
  <si>
    <t>470g</t>
    <phoneticPr fontId="2" type="noConversion"/>
  </si>
  <si>
    <t>1kg*25pack</t>
    <phoneticPr fontId="2" type="noConversion"/>
  </si>
  <si>
    <t>PK019</t>
    <phoneticPr fontId="2" type="noConversion"/>
  </si>
  <si>
    <t>Red Pepper Powder (Fine) - JAVA 4 Bubuk cabe padas</t>
    <phoneticPr fontId="2" type="noConversion"/>
  </si>
  <si>
    <t>Crispy Seasweed -  Java 162 Nori tabur Furikake</t>
    <phoneticPr fontId="2" type="noConversion"/>
  </si>
  <si>
    <t>김자반</t>
    <phoneticPr fontId="2" type="noConversion"/>
  </si>
  <si>
    <t>CK034</t>
    <phoneticPr fontId="2" type="noConversion"/>
  </si>
  <si>
    <t>스크램블에그</t>
    <phoneticPr fontId="2" type="noConversion"/>
  </si>
  <si>
    <t>Scramble egg</t>
    <phoneticPr fontId="2" type="noConversion"/>
  </si>
  <si>
    <t>I071</t>
    <phoneticPr fontId="2" type="noConversion"/>
  </si>
  <si>
    <t>CK035</t>
    <phoneticPr fontId="2" type="noConversion"/>
  </si>
  <si>
    <t>매운양념 연유소스</t>
    <phoneticPr fontId="2" type="noConversion"/>
  </si>
  <si>
    <t>Hot spicy milky sauce</t>
    <phoneticPr fontId="2" type="noConversion"/>
  </si>
  <si>
    <t>마라핫 땅콩소스</t>
    <phoneticPr fontId="2" type="noConversion"/>
  </si>
  <si>
    <t>Mala hot Penaut Sauce</t>
    <phoneticPr fontId="2" type="noConversion"/>
  </si>
  <si>
    <t>CK036</t>
    <phoneticPr fontId="2" type="noConversion"/>
  </si>
  <si>
    <t>PK036</t>
    <phoneticPr fontId="2" type="noConversion"/>
  </si>
  <si>
    <t>컵밥 Lid</t>
    <phoneticPr fontId="2" type="noConversion"/>
  </si>
  <si>
    <t>Cupbap package lid</t>
    <phoneticPr fontId="2" type="noConversion"/>
  </si>
  <si>
    <t>음료 패키지 뚜껑</t>
    <phoneticPr fontId="2" type="noConversion"/>
  </si>
  <si>
    <t>Drink Package lid</t>
    <phoneticPr fontId="2" type="noConversion"/>
  </si>
  <si>
    <t>Bowl 패키지 (500ml)</t>
    <phoneticPr fontId="2" type="noConversion"/>
  </si>
  <si>
    <t>PK037</t>
    <phoneticPr fontId="2" type="noConversion"/>
  </si>
  <si>
    <t>Paper bowl package (500ml)</t>
    <phoneticPr fontId="2" type="noConversion"/>
  </si>
  <si>
    <t>PK038</t>
    <phoneticPr fontId="2" type="noConversion"/>
  </si>
  <si>
    <t>Bowl 패키지 (500ml) Lid</t>
    <phoneticPr fontId="2" type="noConversion"/>
  </si>
  <si>
    <t>Paper bowl package (500ml) Lid</t>
    <phoneticPr fontId="2" type="noConversion"/>
  </si>
  <si>
    <t>PRICE
(VAT excl)</t>
    <phoneticPr fontId="2" type="noConversion"/>
  </si>
  <si>
    <t>D002</t>
    <phoneticPr fontId="2" type="noConversion"/>
  </si>
  <si>
    <t>D003</t>
    <phoneticPr fontId="2" type="noConversion"/>
  </si>
  <si>
    <t>D005</t>
    <phoneticPr fontId="2" type="noConversion"/>
  </si>
  <si>
    <t>D006</t>
    <phoneticPr fontId="2" type="noConversion"/>
  </si>
  <si>
    <t>D007</t>
    <phoneticPr fontId="2" type="noConversion"/>
  </si>
  <si>
    <t>D008</t>
    <phoneticPr fontId="2" type="noConversion"/>
  </si>
  <si>
    <t>시럽(딸기,망고,리치,복숭아)</t>
    <phoneticPr fontId="2" type="noConversion"/>
  </si>
  <si>
    <t>Syrup (Strawberry,Mango,Lychee,Peach)</t>
    <phoneticPr fontId="2" type="noConversion"/>
  </si>
  <si>
    <t>750ml</t>
    <phoneticPr fontId="2" type="noConversion"/>
  </si>
  <si>
    <t>블랙 티 (물 포함)</t>
    <phoneticPr fontId="2" type="noConversion"/>
  </si>
  <si>
    <t xml:space="preserve">Black Tea (w/water) </t>
    <phoneticPr fontId="2" type="noConversion"/>
  </si>
  <si>
    <t>블루레모네이드</t>
    <phoneticPr fontId="2" type="noConversion"/>
  </si>
  <si>
    <t>박카스</t>
    <phoneticPr fontId="2" type="noConversion"/>
  </si>
  <si>
    <t>Energy Drink</t>
    <phoneticPr fontId="2" type="noConversion"/>
  </si>
  <si>
    <t>Blue Lemonade</t>
    <phoneticPr fontId="2" type="noConversion"/>
  </si>
  <si>
    <t>Chocolate syrup</t>
    <phoneticPr fontId="2" type="noConversion"/>
  </si>
  <si>
    <t>초코시럽</t>
    <phoneticPr fontId="2" type="noConversion"/>
  </si>
  <si>
    <t>Ice cream powder (Valina)</t>
    <phoneticPr fontId="2" type="noConversion"/>
  </si>
  <si>
    <t>바닐라 아이스크림 파우더</t>
    <phoneticPr fontId="2" type="noConversion"/>
  </si>
  <si>
    <t>초코 아이스크림 파우더</t>
    <phoneticPr fontId="2" type="noConversion"/>
  </si>
  <si>
    <t>Ice cream powder (Choco)</t>
    <phoneticPr fontId="2" type="noConversion"/>
  </si>
  <si>
    <t>D009</t>
    <phoneticPr fontId="2" type="noConversion"/>
  </si>
  <si>
    <t>350ml</t>
    <phoneticPr fontId="2" type="noConversion"/>
  </si>
  <si>
    <t>150ml</t>
    <phoneticPr fontId="2" type="noConversion"/>
  </si>
  <si>
    <t>커피컵</t>
    <phoneticPr fontId="2" type="noConversion"/>
  </si>
  <si>
    <t>Papercup 8 Oz DW Cetak</t>
  </si>
  <si>
    <t>PK039</t>
    <phoneticPr fontId="2" type="noConversion"/>
  </si>
  <si>
    <t>커피컵 Lid</t>
    <phoneticPr fontId="2" type="noConversion"/>
  </si>
  <si>
    <t>Lid Hot Cup Flip (8oz)</t>
    <phoneticPr fontId="2" type="noConversion"/>
  </si>
  <si>
    <t>PK040</t>
    <phoneticPr fontId="2" type="noConversion"/>
  </si>
  <si>
    <t>음료 패키지 (14oz) - PET</t>
    <phoneticPr fontId="2" type="noConversion"/>
  </si>
  <si>
    <t>PET Cup 14 Oz Flat Cetak 1 Warna</t>
  </si>
  <si>
    <t>돔 뚜껑 (14oz)</t>
    <phoneticPr fontId="2" type="noConversion"/>
  </si>
  <si>
    <t>Dome Lid</t>
    <phoneticPr fontId="2" type="noConversion"/>
  </si>
  <si>
    <t>미숫가루</t>
    <phoneticPr fontId="2" type="noConversion"/>
  </si>
  <si>
    <t xml:space="preserve">바닐라 아이스크림 </t>
    <phoneticPr fontId="2" type="noConversion"/>
  </si>
  <si>
    <t>Sundae Ice Cream (Vanila)</t>
    <phoneticPr fontId="2" type="noConversion"/>
  </si>
  <si>
    <t>CK037</t>
    <phoneticPr fontId="2" type="noConversion"/>
  </si>
  <si>
    <t xml:space="preserve">초코 아이스크림 </t>
    <phoneticPr fontId="2" type="noConversion"/>
  </si>
  <si>
    <t>Sundae Ice Cream (Choco)</t>
    <phoneticPr fontId="2" type="noConversion"/>
  </si>
  <si>
    <t>CK038</t>
    <phoneticPr fontId="2" type="noConversion"/>
  </si>
  <si>
    <t>Ck037</t>
    <phoneticPr fontId="2" type="noConversion"/>
  </si>
  <si>
    <t>I069</t>
    <phoneticPr fontId="2" type="noConversion"/>
  </si>
  <si>
    <t>I067</t>
    <phoneticPr fontId="2" type="noConversion"/>
  </si>
  <si>
    <t>I068</t>
    <phoneticPr fontId="2" type="noConversion"/>
  </si>
  <si>
    <t>D010</t>
    <phoneticPr fontId="2" type="noConversion"/>
  </si>
  <si>
    <t>아침햇살</t>
    <phoneticPr fontId="2" type="noConversion"/>
  </si>
  <si>
    <t>1.5L</t>
    <phoneticPr fontId="2" type="noConversion"/>
  </si>
  <si>
    <t>Korean Rice Drink</t>
    <phoneticPr fontId="2" type="noConversion"/>
  </si>
  <si>
    <t xml:space="preserve">Multi grain powder </t>
    <phoneticPr fontId="2" type="noConversion"/>
  </si>
  <si>
    <t>D011</t>
    <phoneticPr fontId="2" type="noConversion"/>
  </si>
  <si>
    <t>PK041</t>
    <phoneticPr fontId="2" type="noConversion"/>
  </si>
  <si>
    <t>PK042</t>
    <phoneticPr fontId="2" type="noConversion"/>
  </si>
  <si>
    <t>잡채</t>
    <phoneticPr fontId="2" type="noConversion"/>
  </si>
  <si>
    <t>CK039</t>
    <phoneticPr fontId="2" type="noConversion"/>
  </si>
  <si>
    <t>1kg*10pack</t>
    <phoneticPr fontId="2" type="noConversion"/>
  </si>
  <si>
    <t>770g</t>
    <phoneticPr fontId="2" type="noConversion"/>
  </si>
  <si>
    <t xml:space="preserve">* Please check this with Ranita (she had her supplier to get this price) </t>
    <phoneticPr fontId="2" type="noConversion"/>
  </si>
  <si>
    <t>1875g</t>
    <phoneticPr fontId="2" type="noConversion"/>
  </si>
  <si>
    <t>1000ml</t>
    <phoneticPr fontId="2" type="noConversion"/>
  </si>
  <si>
    <t>700ml</t>
    <phoneticPr fontId="2" type="noConversion"/>
  </si>
  <si>
    <t>360g</t>
    <phoneticPr fontId="2" type="noConversion"/>
  </si>
  <si>
    <t>750g</t>
    <phoneticPr fontId="2" type="noConversion"/>
  </si>
  <si>
    <t>Nugget 2pcs</t>
    <phoneticPr fontId="2" type="noConversion"/>
  </si>
  <si>
    <t>Stick 2pcs</t>
    <phoneticPr fontId="2" type="noConversion"/>
  </si>
  <si>
    <t>마진율</t>
    <phoneticPr fontId="2" type="noConversion"/>
  </si>
  <si>
    <t>CH002</t>
    <phoneticPr fontId="2" type="noConversion"/>
  </si>
  <si>
    <r>
      <t xml:space="preserve">부분육 </t>
    </r>
    <r>
      <rPr>
        <sz val="10"/>
        <color rgb="FFC00000"/>
        <rFont val="Calibri"/>
        <family val="3"/>
        <charset val="129"/>
        <scheme val="minor"/>
      </rPr>
      <t>(1.3kg)</t>
    </r>
    <phoneticPr fontId="2" type="noConversion"/>
  </si>
  <si>
    <r>
      <t xml:space="preserve">Injected Partial Chicken </t>
    </r>
    <r>
      <rPr>
        <sz val="10"/>
        <color rgb="FFC00000"/>
        <rFont val="Calibri"/>
        <family val="3"/>
        <charset val="129"/>
        <scheme val="minor"/>
      </rPr>
      <t>(1.3kg)</t>
    </r>
    <phoneticPr fontId="2" type="noConversion"/>
  </si>
  <si>
    <t>CK090</t>
    <phoneticPr fontId="2" type="noConversion"/>
  </si>
  <si>
    <t>크림 (Elle)</t>
    <phoneticPr fontId="2" type="noConversion"/>
  </si>
  <si>
    <t>Cream (Elle)</t>
    <phoneticPr fontId="2" type="noConversion"/>
  </si>
  <si>
    <t>CK091</t>
    <phoneticPr fontId="2" type="noConversion"/>
  </si>
  <si>
    <t>크림 (Anchor)</t>
    <phoneticPr fontId="2" type="noConversion"/>
  </si>
  <si>
    <t>Cream (Anchor)</t>
    <phoneticPr fontId="2" type="noConversion"/>
  </si>
  <si>
    <t>Jrg</t>
  </si>
  <si>
    <t>2kg</t>
  </si>
  <si>
    <t>-</t>
  </si>
  <si>
    <t>CK092</t>
  </si>
  <si>
    <t>CK092</t>
    <phoneticPr fontId="2" type="noConversion"/>
  </si>
  <si>
    <t>CK093</t>
  </si>
  <si>
    <t>CK093</t>
    <phoneticPr fontId="2" type="noConversion"/>
  </si>
  <si>
    <t>모짜렐라 치즈</t>
    <phoneticPr fontId="2" type="noConversion"/>
  </si>
  <si>
    <t>파마산 치즈</t>
    <phoneticPr fontId="2" type="noConversion"/>
  </si>
  <si>
    <t>Mozarella Cheese</t>
    <phoneticPr fontId="2" type="noConversion"/>
  </si>
  <si>
    <t>Parmasan Cheese</t>
    <phoneticPr fontId="2" type="noConversion"/>
  </si>
  <si>
    <t>떡볶이 솔루션</t>
    <phoneticPr fontId="2" type="noConversion"/>
  </si>
  <si>
    <t>Tteokbokki Solution</t>
    <phoneticPr fontId="2" type="noConversion"/>
  </si>
  <si>
    <t>Sauced Chicken (1pc)</t>
  </si>
  <si>
    <t>Cheesestick(3pcs)</t>
  </si>
  <si>
    <t>Fried Dumpling(3pcs)</t>
  </si>
  <si>
    <t>Chocolate Ice Cream</t>
  </si>
  <si>
    <t>C02</t>
    <phoneticPr fontId="2" type="noConversion"/>
  </si>
  <si>
    <t>8kg</t>
    <phoneticPr fontId="2" type="noConversion"/>
  </si>
  <si>
    <t>D012</t>
    <phoneticPr fontId="2" type="noConversion"/>
  </si>
  <si>
    <t>CK100</t>
    <phoneticPr fontId="2" type="noConversion"/>
  </si>
  <si>
    <t>Soft Drink Base</t>
    <phoneticPr fontId="2" type="noConversion"/>
  </si>
  <si>
    <t>탄산음료 베이스</t>
    <phoneticPr fontId="2" type="noConversion"/>
  </si>
  <si>
    <t>ml</t>
    <phoneticPr fontId="2" type="noConversion"/>
  </si>
  <si>
    <t>I100</t>
    <phoneticPr fontId="2" type="noConversion"/>
  </si>
  <si>
    <t>얼음</t>
    <phoneticPr fontId="2" type="noConversion"/>
  </si>
  <si>
    <t>Icecubes</t>
    <phoneticPr fontId="2" type="noConversion"/>
  </si>
  <si>
    <t>Chicken weight  * 10%</t>
  </si>
  <si>
    <t>Chicken weight  * 16%</t>
  </si>
  <si>
    <t>Chicken weight  * 16%</t>
    <phoneticPr fontId="2" type="noConversion"/>
  </si>
  <si>
    <t>Mozzarella Cheese</t>
    <phoneticPr fontId="2" type="noConversion"/>
  </si>
  <si>
    <t>2.8kg</t>
    <phoneticPr fontId="2" type="noConversion"/>
  </si>
  <si>
    <t>1.25kg</t>
    <phoneticPr fontId="2" type="noConversion"/>
  </si>
  <si>
    <r>
      <t xml:space="preserve">Injected Whole Chicken </t>
    </r>
    <r>
      <rPr>
        <sz val="10"/>
        <color rgb="FFC00000"/>
        <rFont val="Calibri"/>
        <family val="3"/>
        <charset val="129"/>
        <scheme val="minor"/>
      </rPr>
      <t>(1.25kg)</t>
    </r>
    <phoneticPr fontId="2" type="noConversion"/>
  </si>
  <si>
    <t>15kg</t>
    <phoneticPr fontId="2" type="noConversion"/>
  </si>
  <si>
    <t>만두 (치킨)</t>
    <phoneticPr fontId="2" type="noConversion"/>
  </si>
  <si>
    <t>만두 (소고기)</t>
    <phoneticPr fontId="2" type="noConversion"/>
  </si>
  <si>
    <t>Mandu (chicken)</t>
    <phoneticPr fontId="2" type="noConversion"/>
  </si>
  <si>
    <t>Mandu (Beef)</t>
    <phoneticPr fontId="2" type="noConversion"/>
  </si>
  <si>
    <t xml:space="preserve">Menu name </t>
    <phoneticPr fontId="2" type="noConversion"/>
  </si>
  <si>
    <t>Golden Fried Chicken (1pc) - Ala carte</t>
  </si>
  <si>
    <t>CODE</t>
    <phoneticPr fontId="2" type="noConversion"/>
  </si>
  <si>
    <t>INGREDIENTS NAME</t>
    <phoneticPr fontId="2" type="noConversion"/>
  </si>
  <si>
    <t>WEIGHT</t>
    <phoneticPr fontId="2" type="noConversion"/>
  </si>
  <si>
    <t>U/P</t>
    <phoneticPr fontId="2" type="noConversion"/>
  </si>
  <si>
    <t>T/O</t>
    <phoneticPr fontId="2" type="noConversion"/>
  </si>
  <si>
    <t>D/I</t>
    <phoneticPr fontId="2" type="noConversion"/>
  </si>
  <si>
    <t xml:space="preserve">Battering Powder </t>
    <phoneticPr fontId="2" type="noConversion"/>
  </si>
  <si>
    <t xml:space="preserve">Battering Powder C </t>
    <phoneticPr fontId="2" type="noConversion"/>
  </si>
  <si>
    <t>TOTAL COST</t>
    <phoneticPr fontId="2" type="noConversion"/>
  </si>
  <si>
    <t>TOTAL USAGE</t>
    <phoneticPr fontId="2" type="noConversion"/>
  </si>
  <si>
    <t>TOTAL %</t>
    <phoneticPr fontId="2" type="noConversion"/>
  </si>
  <si>
    <t>COGS</t>
    <phoneticPr fontId="2" type="noConversion"/>
  </si>
  <si>
    <t>PERIOD</t>
    <phoneticPr fontId="2" type="noConversion"/>
  </si>
  <si>
    <t>REMARK</t>
    <phoneticPr fontId="2" type="noConversion"/>
  </si>
  <si>
    <t>CK001</t>
    <phoneticPr fontId="2" type="noConversion"/>
  </si>
  <si>
    <t>USAGE</t>
    <phoneticPr fontId="2" type="noConversion"/>
  </si>
  <si>
    <t>치킨 크럼쉘 박스</t>
    <phoneticPr fontId="2" type="noConversion"/>
  </si>
  <si>
    <t>BB.Q CHAMSHELL BOX</t>
    <phoneticPr fontId="2" type="noConversion"/>
  </si>
  <si>
    <t>PK027</t>
    <phoneticPr fontId="2" type="noConversion"/>
  </si>
  <si>
    <t xml:space="preserve">STORE </t>
    <phoneticPr fontId="2" type="noConversion"/>
  </si>
  <si>
    <t>Hot Spicy Chicken (1pc) - Ala Carte</t>
    <phoneticPr fontId="2" type="noConversion"/>
  </si>
  <si>
    <t>S002</t>
    <phoneticPr fontId="2" type="noConversion"/>
  </si>
  <si>
    <t>Cheesling Chicken (1pc) - Ala Carte</t>
    <phoneticPr fontId="2" type="noConversion"/>
  </si>
  <si>
    <t>O009</t>
  </si>
  <si>
    <t>CK002</t>
    <phoneticPr fontId="2" type="noConversion"/>
  </si>
  <si>
    <t>CK029</t>
  </si>
  <si>
    <t>Mala Hot Chicken (1pc) - Ala Carte</t>
    <phoneticPr fontId="2" type="noConversion"/>
  </si>
  <si>
    <t>CH001</t>
  </si>
  <si>
    <t>Soy Garlic Chicken (1pc) - Ala Carte</t>
    <phoneticPr fontId="2" type="noConversion"/>
  </si>
  <si>
    <t>S003</t>
  </si>
  <si>
    <t>I064</t>
  </si>
  <si>
    <t>PK043</t>
    <phoneticPr fontId="2" type="noConversion"/>
  </si>
  <si>
    <t xml:space="preserve">BB.Q FOODPAIL M </t>
    <phoneticPr fontId="2" type="noConversion"/>
  </si>
  <si>
    <t>PK044</t>
    <phoneticPr fontId="2" type="noConversion"/>
  </si>
  <si>
    <t>BB.Q FOODPAIL L</t>
    <phoneticPr fontId="2" type="noConversion"/>
  </si>
  <si>
    <t>BB.Q Papertray</t>
    <phoneticPr fontId="2" type="noConversion"/>
  </si>
  <si>
    <t>BB.Q Takeaway Box (XL)</t>
    <phoneticPr fontId="2" type="noConversion"/>
  </si>
  <si>
    <t>PK045</t>
    <phoneticPr fontId="2" type="noConversion"/>
  </si>
  <si>
    <t>PK046</t>
    <phoneticPr fontId="2" type="noConversion"/>
  </si>
  <si>
    <t>PK045</t>
    <phoneticPr fontId="2" type="noConversion"/>
  </si>
  <si>
    <t>PK046</t>
    <phoneticPr fontId="2" type="noConversion"/>
  </si>
  <si>
    <t>Dine-in Package</t>
    <phoneticPr fontId="2" type="noConversion"/>
  </si>
  <si>
    <t>Take Away Package</t>
    <phoneticPr fontId="2" type="noConversion"/>
  </si>
  <si>
    <t>PK033</t>
    <phoneticPr fontId="2" type="noConversion"/>
  </si>
  <si>
    <t>Hot Spicy Chicken (4pcs) - Ala Carte</t>
    <phoneticPr fontId="2" type="noConversion"/>
  </si>
  <si>
    <t>Cheesling Chicken (4pcs) - Ala Carte</t>
    <phoneticPr fontId="2" type="noConversion"/>
  </si>
  <si>
    <t>Golden Fried Chicken (4pcs) - Ala Carte</t>
    <phoneticPr fontId="2" type="noConversion"/>
  </si>
  <si>
    <t xml:space="preserve">GangJeong Chicken (1pc) - Ala Carte </t>
    <phoneticPr fontId="2" type="noConversion"/>
  </si>
  <si>
    <t>CK029</t>
    <phoneticPr fontId="2" type="noConversion"/>
  </si>
  <si>
    <t>Mala Hot Chicken (4pcs) - Ala Carte</t>
    <phoneticPr fontId="2" type="noConversion"/>
  </si>
  <si>
    <t>S010</t>
    <phoneticPr fontId="2" type="noConversion"/>
  </si>
  <si>
    <t>I005</t>
    <phoneticPr fontId="2" type="noConversion"/>
  </si>
  <si>
    <t>Soy Garlic Chicken (4pcs) - Ala Carte</t>
    <phoneticPr fontId="2" type="noConversion"/>
  </si>
  <si>
    <t>S003</t>
    <phoneticPr fontId="2" type="noConversion"/>
  </si>
  <si>
    <t>I064</t>
    <phoneticPr fontId="2" type="noConversion"/>
  </si>
  <si>
    <t xml:space="preserve">GangJeong Chicken (4pcs) - Ala Carte </t>
    <phoneticPr fontId="2" type="noConversion"/>
  </si>
  <si>
    <t>S005</t>
    <phoneticPr fontId="2" type="noConversion"/>
  </si>
  <si>
    <t>V003</t>
    <phoneticPr fontId="2" type="noConversion"/>
  </si>
  <si>
    <t xml:space="preserve">Golden Fried Chicken (1pc) - Rice Combo </t>
    <phoneticPr fontId="2" type="noConversion"/>
  </si>
  <si>
    <t>CK028</t>
  </si>
  <si>
    <t>PK043</t>
    <phoneticPr fontId="2" type="noConversion"/>
  </si>
  <si>
    <t>PK030</t>
    <phoneticPr fontId="2" type="noConversion"/>
  </si>
  <si>
    <t>A001</t>
    <phoneticPr fontId="2" type="noConversion"/>
  </si>
  <si>
    <t>A002</t>
    <phoneticPr fontId="2" type="noConversion"/>
  </si>
  <si>
    <t>A003</t>
    <phoneticPr fontId="2" type="noConversion"/>
  </si>
  <si>
    <t>A004</t>
    <phoneticPr fontId="2" type="noConversion"/>
  </si>
  <si>
    <t>A005</t>
    <phoneticPr fontId="2" type="noConversion"/>
  </si>
  <si>
    <t>A006</t>
    <phoneticPr fontId="2" type="noConversion"/>
  </si>
  <si>
    <t>A007</t>
    <phoneticPr fontId="2" type="noConversion"/>
  </si>
  <si>
    <t>A008</t>
    <phoneticPr fontId="2" type="noConversion"/>
  </si>
  <si>
    <t>A009</t>
    <phoneticPr fontId="2" type="noConversion"/>
  </si>
  <si>
    <t>A010</t>
    <phoneticPr fontId="2" type="noConversion"/>
  </si>
  <si>
    <t>A011</t>
    <phoneticPr fontId="2" type="noConversion"/>
  </si>
  <si>
    <t>A012</t>
    <phoneticPr fontId="2" type="noConversion"/>
  </si>
  <si>
    <t>C001</t>
    <phoneticPr fontId="2" type="noConversion"/>
  </si>
  <si>
    <t>C002</t>
    <phoneticPr fontId="2" type="noConversion"/>
  </si>
  <si>
    <t>C003</t>
    <phoneticPr fontId="2" type="noConversion"/>
  </si>
  <si>
    <t xml:space="preserve">Cheesling Chicken (1pc) - Rice Combo </t>
    <phoneticPr fontId="2" type="noConversion"/>
  </si>
  <si>
    <t>V052</t>
    <phoneticPr fontId="2" type="noConversion"/>
  </si>
  <si>
    <t>DRINK PACKAGE LID(16OZ)</t>
  </si>
  <si>
    <t>PK047</t>
    <phoneticPr fontId="2" type="noConversion"/>
  </si>
  <si>
    <t>PK047</t>
    <phoneticPr fontId="2" type="noConversion"/>
  </si>
  <si>
    <t>C004</t>
    <phoneticPr fontId="2" type="noConversion"/>
  </si>
  <si>
    <t xml:space="preserve">Soy Garlic Chicken (1pc) - Rice Combo </t>
    <phoneticPr fontId="2" type="noConversion"/>
  </si>
  <si>
    <t>C005</t>
    <phoneticPr fontId="2" type="noConversion"/>
  </si>
  <si>
    <t xml:space="preserve">GangJeong Chicken (1pc) - Rice Combo </t>
    <phoneticPr fontId="2" type="noConversion"/>
  </si>
  <si>
    <t>C006</t>
    <phoneticPr fontId="2" type="noConversion"/>
  </si>
  <si>
    <t>Mala Hot Chicken (1pc) - Rice Combo</t>
    <phoneticPr fontId="2" type="noConversion"/>
  </si>
  <si>
    <t>C007</t>
    <phoneticPr fontId="2" type="noConversion"/>
  </si>
  <si>
    <t xml:space="preserve">Golden Fried Chicken (1pc) - Fries Combo </t>
    <phoneticPr fontId="2" type="noConversion"/>
  </si>
  <si>
    <t>BB.Q PAPER BAG FRIES (TakeAway)</t>
  </si>
  <si>
    <t>PK048</t>
    <phoneticPr fontId="2" type="noConversion"/>
  </si>
  <si>
    <t>PK048</t>
    <phoneticPr fontId="2" type="noConversion"/>
  </si>
  <si>
    <t>CK031</t>
    <phoneticPr fontId="2" type="noConversion"/>
  </si>
  <si>
    <t>C008</t>
    <phoneticPr fontId="2" type="noConversion"/>
  </si>
  <si>
    <t xml:space="preserve">Hot Spicy Chicken (1pc) - Rice Combo </t>
    <phoneticPr fontId="2" type="noConversion"/>
  </si>
  <si>
    <t>Hot Spicy Chicken (1pc) - Fries Combo</t>
    <phoneticPr fontId="2" type="noConversion"/>
  </si>
  <si>
    <t>PK019</t>
    <phoneticPr fontId="2" type="noConversion"/>
  </si>
  <si>
    <t>Cheesling Chicken (1pc) - Fries Combo</t>
    <phoneticPr fontId="2" type="noConversion"/>
  </si>
  <si>
    <t>C009</t>
    <phoneticPr fontId="2" type="noConversion"/>
  </si>
  <si>
    <t>C010</t>
    <phoneticPr fontId="2" type="noConversion"/>
  </si>
  <si>
    <t>Mala Hot Chicken (1pc) - Fries Combo</t>
    <phoneticPr fontId="2" type="noConversion"/>
  </si>
  <si>
    <t>C011</t>
    <phoneticPr fontId="2" type="noConversion"/>
  </si>
  <si>
    <t xml:space="preserve">Soy Garlic Chicken (1pc) - Fries Combo </t>
    <phoneticPr fontId="2" type="noConversion"/>
  </si>
  <si>
    <t>C012</t>
    <phoneticPr fontId="2" type="noConversion"/>
  </si>
  <si>
    <t>GangJeong Chicken (1pc) - Fries Combo</t>
    <phoneticPr fontId="2" type="noConversion"/>
  </si>
  <si>
    <t>C013</t>
    <phoneticPr fontId="2" type="noConversion"/>
  </si>
  <si>
    <t>Golden Fried Chicken (1pc) - Tteokbokki Combo</t>
  </si>
  <si>
    <t>Golden Fried Chicken (1pc) - Tteokbokki Combo</t>
    <phoneticPr fontId="2" type="noConversion"/>
  </si>
  <si>
    <t>CK101</t>
    <phoneticPr fontId="2" type="noConversion"/>
  </si>
  <si>
    <t>PK037</t>
    <phoneticPr fontId="2" type="noConversion"/>
  </si>
  <si>
    <t>PK038</t>
    <phoneticPr fontId="2" type="noConversion"/>
  </si>
  <si>
    <t>I031</t>
  </si>
  <si>
    <t>Ck101</t>
    <phoneticPr fontId="2" type="noConversion"/>
  </si>
  <si>
    <t xml:space="preserve">Tteokbokki </t>
  </si>
  <si>
    <t xml:space="preserve">Tteokbokki </t>
    <phoneticPr fontId="2" type="noConversion"/>
  </si>
  <si>
    <t>C014</t>
    <phoneticPr fontId="2" type="noConversion"/>
  </si>
  <si>
    <t>Hot Spicy Chicken (1pc) - Tteokbokki Combo</t>
  </si>
  <si>
    <t>Hot Spicy Chicken (1pc) - Tteokbokki Combo</t>
    <phoneticPr fontId="2" type="noConversion"/>
  </si>
  <si>
    <t>C015</t>
    <phoneticPr fontId="2" type="noConversion"/>
  </si>
  <si>
    <t>Cheesling Chicken (1pc) - Tteokbokki Combo</t>
  </si>
  <si>
    <t>Cheesling Chicken (1pc) - Tteokbokki Combo</t>
    <phoneticPr fontId="2" type="noConversion"/>
  </si>
  <si>
    <t>C016</t>
    <phoneticPr fontId="2" type="noConversion"/>
  </si>
  <si>
    <t>Mala Hot Chicken (1pc) - Tteokbokki Combo</t>
  </si>
  <si>
    <t>Mala Hot Chicken (1pc) - Tteokbokki Combo</t>
    <phoneticPr fontId="2" type="noConversion"/>
  </si>
  <si>
    <t>Soy Garlic Chicken (1pc) - Tteokbokki Combo</t>
  </si>
  <si>
    <t>Soy Garlic Chicken (1pc) - Tteokbokki Combo</t>
    <phoneticPr fontId="2" type="noConversion"/>
  </si>
  <si>
    <t>C017</t>
    <phoneticPr fontId="2" type="noConversion"/>
  </si>
  <si>
    <t>GangJeong Chicken (1pc) - Tteokbokki Combo</t>
  </si>
  <si>
    <t>GangJeong Chicken (1pc) - Tteokbokki Combo</t>
    <phoneticPr fontId="2" type="noConversion"/>
  </si>
  <si>
    <t>C018</t>
    <phoneticPr fontId="2" type="noConversion"/>
  </si>
  <si>
    <t>C019</t>
    <phoneticPr fontId="2" type="noConversion"/>
  </si>
  <si>
    <t>Golden Fried Chicken (2pcs) - Rice Combo</t>
  </si>
  <si>
    <t>Golden Fried Chicken (2pcs) - Rice Combo</t>
    <phoneticPr fontId="2" type="noConversion"/>
  </si>
  <si>
    <t>Hot Spicy Chicken (2pcs) - Rice Combo</t>
  </si>
  <si>
    <t>Hot Spicy Chicken (2pcs) - Rice Combo</t>
    <phoneticPr fontId="2" type="noConversion"/>
  </si>
  <si>
    <t>C020</t>
    <phoneticPr fontId="2" type="noConversion"/>
  </si>
  <si>
    <t>C021</t>
    <phoneticPr fontId="2" type="noConversion"/>
  </si>
  <si>
    <t>Cheeseling Chicken (2pcs) - Rice Combo</t>
  </si>
  <si>
    <t>Cheeseling Chicken (2pcs) - Rice Combo</t>
    <phoneticPr fontId="2" type="noConversion"/>
  </si>
  <si>
    <t>Mala Hot Chicken (2pcs) - Rice Combo</t>
  </si>
  <si>
    <t>Mala Hot Chicken (2pcs) - Rice Combo</t>
    <phoneticPr fontId="2" type="noConversion"/>
  </si>
  <si>
    <t>C022</t>
    <phoneticPr fontId="2" type="noConversion"/>
  </si>
  <si>
    <t>C023</t>
    <phoneticPr fontId="2" type="noConversion"/>
  </si>
  <si>
    <t>Soy Garlic Chicken (2pcs) - Rice Combo</t>
  </si>
  <si>
    <t>Soy Garlic Chicken (2pcs) - Rice Combo</t>
    <phoneticPr fontId="2" type="noConversion"/>
  </si>
  <si>
    <t>GangJeong Chicken (2pcs) - Rice Combo</t>
  </si>
  <si>
    <t>GangJeong Chicken (2pcs) - Rice Combo</t>
    <phoneticPr fontId="2" type="noConversion"/>
  </si>
  <si>
    <t>C024</t>
    <phoneticPr fontId="2" type="noConversion"/>
  </si>
  <si>
    <t>C025</t>
    <phoneticPr fontId="2" type="noConversion"/>
  </si>
  <si>
    <t>Golden Fried Chicken (2pcs) - Fries Combo</t>
  </si>
  <si>
    <t>Golden Fried Chicken (2pcs) - Fries Combo</t>
    <phoneticPr fontId="2" type="noConversion"/>
  </si>
  <si>
    <t>Hot Spicy Chicken (2pcs) - Fries Combo</t>
  </si>
  <si>
    <t>Hot Spicy Chicken (2pcs) - Fries Combo</t>
    <phoneticPr fontId="2" type="noConversion"/>
  </si>
  <si>
    <t>C026</t>
    <phoneticPr fontId="2" type="noConversion"/>
  </si>
  <si>
    <t>C027</t>
    <phoneticPr fontId="2" type="noConversion"/>
  </si>
  <si>
    <t>Cheesling Chicken (2pcs) - Fries Combo</t>
  </si>
  <si>
    <t>Cheesling Chicken (2pcs) - Fries Combo</t>
    <phoneticPr fontId="2" type="noConversion"/>
  </si>
  <si>
    <t>Soy Garlic Chicken (2pcs) - Fries Combo</t>
  </si>
  <si>
    <t>Soy Garlic Chicken (2pcs) - Fries Combo</t>
    <phoneticPr fontId="2" type="noConversion"/>
  </si>
  <si>
    <t>C028</t>
    <phoneticPr fontId="2" type="noConversion"/>
  </si>
  <si>
    <t>Mala Hot Chicken (2pcs) - Fries Combo</t>
  </si>
  <si>
    <t>Mala Hot Chicken (2pcs) - Fries Combo</t>
    <phoneticPr fontId="2" type="noConversion"/>
  </si>
  <si>
    <t>C029</t>
    <phoneticPr fontId="2" type="noConversion"/>
  </si>
  <si>
    <t>GangJeong Chicken (2pcs) - Fries Combo</t>
  </si>
  <si>
    <t>GangJeong Chicken (2pcs) - Fries Combo</t>
    <phoneticPr fontId="2" type="noConversion"/>
  </si>
  <si>
    <t>C030</t>
    <phoneticPr fontId="2" type="noConversion"/>
  </si>
  <si>
    <t>C031</t>
    <phoneticPr fontId="2" type="noConversion"/>
  </si>
  <si>
    <t>Golden Fried Chicken (2pcs) - Tteokbokki Combo</t>
  </si>
  <si>
    <t>Golden Fried Chicken (2pcs) - Tteokbokki Combo</t>
    <phoneticPr fontId="2" type="noConversion"/>
  </si>
  <si>
    <t>C032</t>
    <phoneticPr fontId="2" type="noConversion"/>
  </si>
  <si>
    <t>Hot Spicy Chicken (2pcs) - Tteokbokki Combo</t>
  </si>
  <si>
    <t>Hot Spicy Chicken (2pcs) - Tteokbokki Combo</t>
    <phoneticPr fontId="2" type="noConversion"/>
  </si>
  <si>
    <t>Cheesling Chicken (2pcs) - Tteokbokki Combo</t>
  </si>
  <si>
    <t>Cheesling Chicken (2pcs) - Tteokbokki Combo</t>
    <phoneticPr fontId="2" type="noConversion"/>
  </si>
  <si>
    <t>C033</t>
    <phoneticPr fontId="2" type="noConversion"/>
  </si>
  <si>
    <t>Mala Hot Chicken (2pcs) - Tteokbokki Combo</t>
  </si>
  <si>
    <t>Mala Hot Chicken (2pcs) - Tteokbokki Combo</t>
    <phoneticPr fontId="2" type="noConversion"/>
  </si>
  <si>
    <t>C034</t>
    <phoneticPr fontId="2" type="noConversion"/>
  </si>
  <si>
    <t>C035</t>
    <phoneticPr fontId="2" type="noConversion"/>
  </si>
  <si>
    <t>Soy Garlic Chicken (2pcs) - Tteokbokki Combo</t>
  </si>
  <si>
    <t>Soy Garlic Chicken (2pcs) - Tteokbokki Combo</t>
    <phoneticPr fontId="2" type="noConversion"/>
  </si>
  <si>
    <t>GangJeong Chicken (2pcs) - Tteokbokki Combo</t>
  </si>
  <si>
    <t>GangJeong Chicken (2pcs) - Tteokbokki Combo</t>
    <phoneticPr fontId="2" type="noConversion"/>
  </si>
  <si>
    <t>C036</t>
    <phoneticPr fontId="2" type="noConversion"/>
  </si>
  <si>
    <t>M001</t>
    <phoneticPr fontId="2" type="noConversion"/>
  </si>
  <si>
    <t>Mala Hot Cupbap</t>
  </si>
  <si>
    <t>Mala Hot Cupbap</t>
    <phoneticPr fontId="2" type="noConversion"/>
  </si>
  <si>
    <t>S002</t>
  </si>
  <si>
    <t>CK034</t>
  </si>
  <si>
    <t>Hot Spicy Cupbap</t>
  </si>
  <si>
    <t>Hot Spicy Cupbap</t>
    <phoneticPr fontId="2" type="noConversion"/>
  </si>
  <si>
    <t>M002</t>
    <phoneticPr fontId="2" type="noConversion"/>
  </si>
  <si>
    <t>S010</t>
    <phoneticPr fontId="2" type="noConversion"/>
  </si>
  <si>
    <t>Soy Garlic Cupbap</t>
  </si>
  <si>
    <t>Soy Garlic Cupbap</t>
    <phoneticPr fontId="2" type="noConversion"/>
  </si>
  <si>
    <t>M003</t>
    <phoneticPr fontId="2" type="noConversion"/>
  </si>
  <si>
    <t>S003</t>
    <phoneticPr fontId="2" type="noConversion"/>
  </si>
  <si>
    <t>M004</t>
    <phoneticPr fontId="2" type="noConversion"/>
  </si>
  <si>
    <t xml:space="preserve">Tteokbokki </t>
    <phoneticPr fontId="2" type="noConversion"/>
  </si>
  <si>
    <t>Rose Tteokbokki</t>
  </si>
  <si>
    <t>Rose Tteokbokki</t>
    <phoneticPr fontId="2" type="noConversion"/>
  </si>
  <si>
    <t>M005</t>
    <phoneticPr fontId="2" type="noConversion"/>
  </si>
  <si>
    <t>INDONESIA COGS TOOL</t>
  </si>
  <si>
    <t xml:space="preserve"> </t>
  </si>
  <si>
    <t>PART</t>
  </si>
  <si>
    <t>Inventory</t>
  </si>
  <si>
    <t>Company</t>
  </si>
  <si>
    <t>SKU</t>
  </si>
  <si>
    <t>Packing unit</t>
  </si>
  <si>
    <t>Price</t>
  </si>
  <si>
    <t>Initial stock</t>
  </si>
  <si>
    <t>2nd week INVOICE</t>
    <phoneticPr fontId="47" type="noConversion"/>
  </si>
  <si>
    <t>3rd week INVOICE</t>
    <phoneticPr fontId="47" type="noConversion"/>
  </si>
  <si>
    <t xml:space="preserve">End stock </t>
  </si>
  <si>
    <t>COGS</t>
  </si>
  <si>
    <t>CHICKEN</t>
  </si>
  <si>
    <t>WIP - WHOLE CHICKEN</t>
  </si>
  <si>
    <t>POWDER</t>
  </si>
  <si>
    <t>BATTERING POWDER MIX</t>
  </si>
  <si>
    <t>BATTERING POWDER MIX C</t>
  </si>
  <si>
    <t>CHEESE TASTE SEASONING MIX</t>
  </si>
  <si>
    <t>MARINADE POWDER MIX</t>
  </si>
  <si>
    <t>PICKLE SOLUTION POWDER MIX</t>
  </si>
  <si>
    <t>WIP - BATTERING POWDER MIX C SOLUTION(YELLOW)</t>
  </si>
  <si>
    <t>GR</t>
  </si>
  <si>
    <t>WIP - BATTERING POWDER MIX SOLUTION(WHITE)</t>
  </si>
  <si>
    <t>SAUCE</t>
  </si>
  <si>
    <t>GARLIC FLAVOUR SOY SAUCE</t>
  </si>
  <si>
    <t>HONEY PEPPER SAUCE</t>
  </si>
  <si>
    <t>HOT PEPPER PASTE 2.8KG</t>
  </si>
  <si>
    <t>HOT SPICY SAUCE</t>
  </si>
  <si>
    <t>MALA HOT SAUCE</t>
  </si>
  <si>
    <t>ABC SAMBAL EXTRA PEDAS SACHET</t>
  </si>
  <si>
    <t>ABC TOMATO SASET</t>
  </si>
  <si>
    <t>DARK SOY SAUCED</t>
  </si>
  <si>
    <t>KEWPIE CHEF STYLE MAYO</t>
  </si>
  <si>
    <t>OYSTER SAUCE</t>
  </si>
  <si>
    <t>SOY SAUCE</t>
  </si>
  <si>
    <t>OIL</t>
  </si>
  <si>
    <t>DEEP FRYING (FALMIA OIL BIB)</t>
  </si>
  <si>
    <t>VEGETABLE</t>
  </si>
  <si>
    <t>BAWANG PUTIH</t>
  </si>
  <si>
    <t>FRES MILK PLAIN CIMORY 950ML</t>
  </si>
  <si>
    <t>GIMBORI</t>
  </si>
  <si>
    <t>LEMON</t>
  </si>
  <si>
    <t>LEMON SYRUP (1 L)</t>
  </si>
  <si>
    <t>RICE</t>
  </si>
  <si>
    <t>SCALLION(GREEN ONION)</t>
  </si>
  <si>
    <t>INGREDIENTS</t>
  </si>
  <si>
    <t>BLACK PEPPER</t>
  </si>
  <si>
    <t>RED PEPPER POWDER (FINE) - JAVA 4 BUBUK CABE PADAS</t>
  </si>
  <si>
    <t>COCONUT FLAKE</t>
  </si>
  <si>
    <t>CORN FLAKE</t>
  </si>
  <si>
    <t>CRUSHED PEANUT</t>
  </si>
  <si>
    <t>EASYMIX WAFFE</t>
  </si>
  <si>
    <t>FISH CAKE</t>
  </si>
  <si>
    <t>GLASS NOODLE</t>
  </si>
  <si>
    <t>MINCED GARLIC</t>
  </si>
  <si>
    <t>MSG(AJINOMOTO)</t>
  </si>
  <si>
    <t>OREO CRUMBLE</t>
  </si>
  <si>
    <t>RICE CAKE</t>
  </si>
  <si>
    <t>SALT</t>
  </si>
  <si>
    <t>SESAME SEEDS</t>
  </si>
  <si>
    <t>EGG</t>
  </si>
  <si>
    <t>WHITE SUGAR</t>
  </si>
  <si>
    <t>FROZEN PRODUCT</t>
  </si>
  <si>
    <t>CHEESE STICK</t>
  </si>
  <si>
    <t>CHICKEN NUGGET</t>
  </si>
  <si>
    <t>FRENCH FRIES</t>
  </si>
  <si>
    <t>MANDU BEEF BULGOGI</t>
  </si>
  <si>
    <t>MANDU CHICKEN</t>
  </si>
  <si>
    <t>PACKAGE</t>
  </si>
  <si>
    <t>6.5" FORK</t>
  </si>
  <si>
    <t>6.5" SPOON</t>
  </si>
  <si>
    <t>BB.Q APPITIZER BOX</t>
  </si>
  <si>
    <t>BB.Q CHAMSHELL BOX</t>
  </si>
  <si>
    <t>BB.Q FOODPAIL L</t>
  </si>
  <si>
    <t>BB.Q FOODPAIL M</t>
  </si>
  <si>
    <t>BB.Q PAPERTRAY</t>
  </si>
  <si>
    <t>BB.Q POTATO FRIES BOX (Dine In)</t>
  </si>
  <si>
    <t>BB.Q TAKEAWAY BOX XL</t>
  </si>
  <si>
    <t>CUP PLS #14</t>
  </si>
  <si>
    <t>CUP SUNDAE #8 OZ</t>
  </si>
  <si>
    <t>CUTLERIES</t>
  </si>
  <si>
    <t>DRINK PACKAGE(16OZ)</t>
  </si>
  <si>
    <t>LID CUP #14 FLAT</t>
  </si>
  <si>
    <t>LID CUP PAPER #8</t>
  </si>
  <si>
    <t>PAPER BAG (SMALL) PUTIH LOGO (MASKOINDO)</t>
  </si>
  <si>
    <t>PAPER BAG BIG COKLAT (LOGO)</t>
  </si>
  <si>
    <t>PAPER BAG SMALL COKLAT (LOGO)</t>
  </si>
  <si>
    <t>PAPERBOWL CUPBAP #720</t>
  </si>
  <si>
    <t>ROUND SAUCE #35ML</t>
  </si>
  <si>
    <t>SENDOK SUNDAE</t>
  </si>
  <si>
    <t>STRAW PLASTIK 20 CM</t>
  </si>
  <si>
    <t>STRAW PLASTIK 24 CM</t>
  </si>
  <si>
    <t>TAS SPUNBOND</t>
  </si>
  <si>
    <t>BEVERAGE</t>
  </si>
  <si>
    <t>BONALLIE BLACK TEA</t>
  </si>
  <si>
    <t>BONALLIE CHOCO</t>
  </si>
  <si>
    <t>BONALLIE GRAPE</t>
  </si>
  <si>
    <t>BONALLIE LYCHEE</t>
  </si>
  <si>
    <t>BONALLIE MANGO</t>
  </si>
  <si>
    <t>BONALLIE PEACH</t>
  </si>
  <si>
    <t>BONALLIE ROSE</t>
  </si>
  <si>
    <t>BONALLIE STRAWBERRY</t>
  </si>
  <si>
    <t>CHILLED RICH DOUBLE CREAM</t>
  </si>
  <si>
    <t>COLA BIB 10L</t>
  </si>
  <si>
    <t>COLA CAN 250ML</t>
  </si>
  <si>
    <t>FANTA BIB 10L</t>
  </si>
  <si>
    <t>FANTA STRAW CAN 250ML</t>
  </si>
  <si>
    <t>MILKIS ORIGINAL</t>
  </si>
  <si>
    <t>MINERAL WATER 600ML</t>
  </si>
  <si>
    <t>NESCAFE CLASIC</t>
  </si>
  <si>
    <t>NESCAFE LATTE</t>
  </si>
  <si>
    <t>SOFT SERVE VANILLA</t>
  </si>
  <si>
    <t>SOFT SERVER CHOCO</t>
  </si>
  <si>
    <t>SPRITE BIB 10L</t>
  </si>
  <si>
    <t>SPRITE CAN 250ML</t>
  </si>
  <si>
    <t>YAKULT ORIGINAL</t>
  </si>
  <si>
    <t>SNACK</t>
  </si>
  <si>
    <t>NUTS HOLIC ALMOND BANANA</t>
  </si>
  <si>
    <t>NUTS HOLIC ALMOND HONEY BUTTER</t>
  </si>
  <si>
    <t>NUTS HOLIC ALMOND HOT &amp; SPICY</t>
  </si>
  <si>
    <t>NUTS HOLIC ALMOND KIMCHI</t>
  </si>
  <si>
    <t>NUTS HOLIC ALMOND STRAWBERRY</t>
  </si>
  <si>
    <t>NUTS HOLIC ALMOND WASABI</t>
  </si>
  <si>
    <t xml:space="preserve">SALES MIX </t>
    <phoneticPr fontId="2" type="noConversion"/>
  </si>
  <si>
    <t>Hot Spicy Chicken (1pc) - Ala Carte</t>
  </si>
  <si>
    <t>Cheesling Chicken (1pc) - Ala Carte</t>
  </si>
  <si>
    <t>Mala Hot Chicken (1pc) - Ala Carte</t>
  </si>
  <si>
    <t>Soy Garlic Chicken (1pc) - Ala Carte</t>
  </si>
  <si>
    <t xml:space="preserve">GangJeong Chicken (1pc) - Ala Carte </t>
  </si>
  <si>
    <t>Golden Fried Chicken (4pcs) - Ala Carte</t>
  </si>
  <si>
    <t>Hot Spicy Chicken (4pcs) - Ala Carte</t>
  </si>
  <si>
    <t>Cheesling Chicken (4pcs) - Ala Carte</t>
  </si>
  <si>
    <t>Mala Hot Chicken (4pcs) - Ala Carte</t>
  </si>
  <si>
    <t>Soy Garlic Chicken (4pcs) - Ala Carte</t>
  </si>
  <si>
    <t xml:space="preserve">GangJeong Chicken (4pcs) - Ala Carte </t>
  </si>
  <si>
    <t xml:space="preserve">Golden Fried Chicken (1pc) - Rice Combo </t>
  </si>
  <si>
    <t xml:space="preserve">Hot Spicy Chicken (1pc) - Rice Combo </t>
  </si>
  <si>
    <t xml:space="preserve">Cheesling Chicken (1pc) - Rice Combo </t>
  </si>
  <si>
    <t xml:space="preserve">Soy Garlic Chicken (1pc) - Rice Combo </t>
  </si>
  <si>
    <t xml:space="preserve">GangJeong Chicken (1pc) - Rice Combo </t>
  </si>
  <si>
    <t>Mala Hot Chicken (1pc) - Rice Combo</t>
  </si>
  <si>
    <t xml:space="preserve">Golden Fried Chicken (1pc) - Fries Combo </t>
  </si>
  <si>
    <t>Hot Spicy Chicken (1pc) - Fries Combo</t>
  </si>
  <si>
    <t>Cheesling Chicken (1pc) - Fries Combo</t>
  </si>
  <si>
    <t>Mala Hot Chicken (1pc) - Fries Combo</t>
  </si>
  <si>
    <t xml:space="preserve">Soy Garlic Chicken (1pc) - Fries Combo </t>
  </si>
  <si>
    <t>GangJeong Chicken (1pc) - Fries Combo</t>
  </si>
  <si>
    <t>SALES</t>
    <phoneticPr fontId="2" type="noConversion"/>
  </si>
  <si>
    <t>PRICE</t>
    <phoneticPr fontId="2" type="noConversion"/>
  </si>
  <si>
    <t>SALES</t>
    <phoneticPr fontId="2" type="noConversion"/>
  </si>
  <si>
    <t xml:space="preserve">Contribution </t>
    <phoneticPr fontId="2" type="noConversion"/>
  </si>
  <si>
    <t>QTY</t>
    <phoneticPr fontId="2" type="noConversion"/>
  </si>
  <si>
    <t xml:space="preserve">SALES </t>
    <phoneticPr fontId="2" type="noConversion"/>
  </si>
  <si>
    <t>MANUAL USAGE by PU</t>
    <phoneticPr fontId="2" type="noConversion"/>
  </si>
  <si>
    <t>4th week INVOICE</t>
    <phoneticPr fontId="47" type="noConversion"/>
  </si>
  <si>
    <t xml:space="preserve">1st week </t>
    <phoneticPr fontId="47" type="noConversion"/>
  </si>
  <si>
    <t>INVENTORY</t>
    <phoneticPr fontId="2" type="noConversion"/>
  </si>
  <si>
    <t>P007</t>
    <phoneticPr fontId="2" type="noConversion"/>
  </si>
  <si>
    <t>I073</t>
    <phoneticPr fontId="2" type="noConversion"/>
  </si>
  <si>
    <t>GRATED PARMESAN CHEESE</t>
    <phoneticPr fontId="2" type="noConversion"/>
  </si>
  <si>
    <t>CUP PAPER #8</t>
    <phoneticPr fontId="2" type="noConversion"/>
  </si>
  <si>
    <t>PK031</t>
    <phoneticPr fontId="2" type="noConversion"/>
  </si>
  <si>
    <t>PK049</t>
  </si>
  <si>
    <t>PK049</t>
    <phoneticPr fontId="2" type="noConversion"/>
  </si>
  <si>
    <t>PAPER BOWL PACKAGE (500ML)</t>
    <phoneticPr fontId="2" type="noConversion"/>
  </si>
  <si>
    <t>PAPER BOWL PACKAGE (500ML) LID</t>
    <phoneticPr fontId="2" type="noConversion"/>
  </si>
  <si>
    <t>PAPERBOWL CUPBAP #720</t>
    <phoneticPr fontId="2" type="noConversion"/>
  </si>
  <si>
    <t>PAPERBOWL CUPBAP #720 LID</t>
    <phoneticPr fontId="2" type="noConversion"/>
  </si>
  <si>
    <t>PARCHMENT PAPER / WRAPPING RICE</t>
    <phoneticPr fontId="2" type="noConversion"/>
  </si>
  <si>
    <t>PCS</t>
    <phoneticPr fontId="2" type="noConversion"/>
  </si>
  <si>
    <t>TOTAL</t>
    <phoneticPr fontId="2" type="noConversion"/>
  </si>
  <si>
    <t>M006</t>
    <phoneticPr fontId="2" type="noConversion"/>
  </si>
  <si>
    <t xml:space="preserve">Fried Mandu (Chicken) </t>
    <phoneticPr fontId="2" type="noConversion"/>
  </si>
  <si>
    <t>F025</t>
    <phoneticPr fontId="2" type="noConversion"/>
  </si>
  <si>
    <t>O009</t>
    <phoneticPr fontId="2" type="noConversion"/>
  </si>
  <si>
    <t>M007</t>
    <phoneticPr fontId="2" type="noConversion"/>
  </si>
  <si>
    <t>Fried Mandu (Beef)</t>
    <phoneticPr fontId="2" type="noConversion"/>
  </si>
  <si>
    <t>F026</t>
    <phoneticPr fontId="2" type="noConversion"/>
  </si>
  <si>
    <t>M008</t>
    <phoneticPr fontId="2" type="noConversion"/>
  </si>
  <si>
    <t>I074</t>
    <phoneticPr fontId="2" type="noConversion"/>
  </si>
  <si>
    <t>ABC CHILI SASET</t>
  </si>
  <si>
    <t>22pcs</t>
    <phoneticPr fontId="2" type="noConversion"/>
  </si>
  <si>
    <t>pc</t>
    <phoneticPr fontId="2" type="noConversion"/>
  </si>
  <si>
    <t>I075</t>
  </si>
  <si>
    <t>I075</t>
    <phoneticPr fontId="2" type="noConversion"/>
  </si>
  <si>
    <t>I076</t>
  </si>
  <si>
    <t>I076</t>
    <phoneticPr fontId="2" type="noConversion"/>
  </si>
  <si>
    <t>I077</t>
    <phoneticPr fontId="2" type="noConversion"/>
  </si>
  <si>
    <t>1L</t>
    <phoneticPr fontId="2" type="noConversion"/>
  </si>
  <si>
    <t>BAWANG PUTIH GORENG(Garlic Chip)</t>
    <phoneticPr fontId="2" type="noConversion"/>
  </si>
  <si>
    <t>BAWANG MERAH GORENG(Shallot Chip)</t>
    <phoneticPr fontId="2" type="noConversion"/>
  </si>
  <si>
    <t>I078</t>
    <phoneticPr fontId="2" type="noConversion"/>
  </si>
  <si>
    <t>Shallot Chip</t>
    <phoneticPr fontId="2" type="noConversion"/>
  </si>
  <si>
    <t xml:space="preserve">BB.Q POTATO FRIES BOX (Dine-in) </t>
    <phoneticPr fontId="2" type="noConversion"/>
  </si>
  <si>
    <t>BONALLIE BLACK TEA</t>
    <phoneticPr fontId="2" type="noConversion"/>
  </si>
  <si>
    <t>BONALLIE CHOCO</t>
    <phoneticPr fontId="2" type="noConversion"/>
  </si>
  <si>
    <t>BONALLIE GRAPE</t>
    <phoneticPr fontId="2" type="noConversion"/>
  </si>
  <si>
    <t>BONALLIE LYCHEE</t>
    <phoneticPr fontId="2" type="noConversion"/>
  </si>
  <si>
    <t>BONALLIE MANGO</t>
    <phoneticPr fontId="2" type="noConversion"/>
  </si>
  <si>
    <t>BONALLIE PEACH</t>
    <phoneticPr fontId="2" type="noConversion"/>
  </si>
  <si>
    <t>BONALLIE ROSE</t>
    <phoneticPr fontId="2" type="noConversion"/>
  </si>
  <si>
    <t>BONALLIE STRAWBERRY</t>
    <phoneticPr fontId="2" type="noConversion"/>
  </si>
  <si>
    <t>1g</t>
    <phoneticPr fontId="2" type="noConversion"/>
  </si>
  <si>
    <t>1ML</t>
    <phoneticPr fontId="2" type="noConversion"/>
  </si>
  <si>
    <t>D012</t>
  </si>
  <si>
    <t>D013</t>
  </si>
  <si>
    <t>D014</t>
  </si>
  <si>
    <t>D015</t>
  </si>
  <si>
    <t>D016</t>
  </si>
  <si>
    <t>D017</t>
  </si>
  <si>
    <t>D018</t>
  </si>
  <si>
    <t>D019</t>
  </si>
  <si>
    <t>D013</t>
    <phoneticPr fontId="2" type="noConversion"/>
  </si>
  <si>
    <t>1pc</t>
    <phoneticPr fontId="2" type="noConversion"/>
  </si>
  <si>
    <t>M009</t>
  </si>
  <si>
    <t>M009</t>
    <phoneticPr fontId="2" type="noConversion"/>
  </si>
  <si>
    <t>Cheese Stick</t>
    <phoneticPr fontId="2" type="noConversion"/>
  </si>
  <si>
    <t>1pcs - 25g</t>
    <phoneticPr fontId="2" type="noConversion"/>
  </si>
  <si>
    <t>cupbap Tender - 1+1/2 pcs (1pc ??_</t>
    <phoneticPr fontId="2" type="noConversion"/>
  </si>
  <si>
    <t>I079</t>
    <phoneticPr fontId="2" type="noConversion"/>
  </si>
  <si>
    <t xml:space="preserve">CHILLED RICH DOUBLE CREAM </t>
    <phoneticPr fontId="2" type="noConversion"/>
  </si>
  <si>
    <t>COCONUT FLAKE</t>
    <phoneticPr fontId="2" type="noConversion"/>
  </si>
  <si>
    <t>250g</t>
    <phoneticPr fontId="2" type="noConversion"/>
  </si>
  <si>
    <t>D020</t>
    <phoneticPr fontId="2" type="noConversion"/>
  </si>
  <si>
    <t xml:space="preserve">SOFT DRINK CAN </t>
    <phoneticPr fontId="2" type="noConversion"/>
  </si>
  <si>
    <t>1can</t>
    <phoneticPr fontId="2" type="noConversion"/>
  </si>
  <si>
    <t>can</t>
    <phoneticPr fontId="2" type="noConversion"/>
  </si>
  <si>
    <t>CUP PAPER #8 (Coffee)</t>
    <phoneticPr fontId="2" type="noConversion"/>
  </si>
  <si>
    <t>PK050</t>
    <phoneticPr fontId="2" type="noConversion"/>
  </si>
  <si>
    <t>PK051</t>
    <phoneticPr fontId="2" type="noConversion"/>
  </si>
  <si>
    <t>PK052</t>
    <phoneticPr fontId="2" type="noConversion"/>
  </si>
  <si>
    <t>FRES MILK PLAIN CIMORY 950ML</t>
    <phoneticPr fontId="2" type="noConversion"/>
  </si>
  <si>
    <t>I080</t>
    <phoneticPr fontId="2" type="noConversion"/>
  </si>
  <si>
    <t>950ml</t>
    <phoneticPr fontId="2" type="noConversion"/>
  </si>
  <si>
    <t>GIMBORI (Crispy Seaweed)</t>
    <phoneticPr fontId="2" type="noConversion"/>
  </si>
  <si>
    <t>PK053</t>
    <phoneticPr fontId="2" type="noConversion"/>
  </si>
  <si>
    <t>PK054</t>
    <phoneticPr fontId="2" type="noConversion"/>
  </si>
  <si>
    <t>D021</t>
    <phoneticPr fontId="2" type="noConversion"/>
  </si>
  <si>
    <t>MINERAL WATER 600ML</t>
    <phoneticPr fontId="2" type="noConversion"/>
  </si>
  <si>
    <t>D022</t>
    <phoneticPr fontId="2" type="noConversion"/>
  </si>
  <si>
    <t>NESCAFE CLASIC</t>
    <phoneticPr fontId="2" type="noConversion"/>
  </si>
  <si>
    <t>120g</t>
    <phoneticPr fontId="2" type="noConversion"/>
  </si>
  <si>
    <t>NESCAFE LATTE</t>
    <phoneticPr fontId="2" type="noConversion"/>
  </si>
  <si>
    <t>D023</t>
    <phoneticPr fontId="2" type="noConversion"/>
  </si>
  <si>
    <t>ARLA TOPPING PIZZA (Moza)</t>
    <phoneticPr fontId="2" type="noConversion"/>
  </si>
  <si>
    <t>I081</t>
    <phoneticPr fontId="2" type="noConversion"/>
  </si>
  <si>
    <t>PK055</t>
    <phoneticPr fontId="2" type="noConversion"/>
  </si>
  <si>
    <t>PK056</t>
    <phoneticPr fontId="2" type="noConversion"/>
  </si>
  <si>
    <t>PK057</t>
    <phoneticPr fontId="2" type="noConversion"/>
  </si>
  <si>
    <t>PK058</t>
    <phoneticPr fontId="2" type="noConversion"/>
  </si>
  <si>
    <t>PK059</t>
    <phoneticPr fontId="2" type="noConversion"/>
  </si>
  <si>
    <t>SENDOK SUNDAE(Spoon)</t>
    <phoneticPr fontId="2" type="noConversion"/>
  </si>
  <si>
    <t>I065</t>
    <phoneticPr fontId="2" type="noConversion"/>
  </si>
  <si>
    <t>I066</t>
    <phoneticPr fontId="2" type="noConversion"/>
  </si>
  <si>
    <t>PK060</t>
    <phoneticPr fontId="2" type="noConversion"/>
  </si>
  <si>
    <t>PK061</t>
    <phoneticPr fontId="2" type="noConversion"/>
  </si>
  <si>
    <t>PK062</t>
    <phoneticPr fontId="2" type="noConversion"/>
  </si>
  <si>
    <t>D024</t>
    <phoneticPr fontId="2" type="noConversion"/>
  </si>
  <si>
    <t>65ml</t>
    <phoneticPr fontId="2" type="noConversion"/>
  </si>
  <si>
    <t>S060</t>
    <phoneticPr fontId="2" type="noConversion"/>
  </si>
  <si>
    <t>Dark Soy Sauce</t>
    <phoneticPr fontId="2" type="noConversion"/>
  </si>
  <si>
    <t>I082</t>
    <phoneticPr fontId="2" type="noConversion"/>
  </si>
  <si>
    <t>EASYMIX WAFFE</t>
    <phoneticPr fontId="2" type="noConversion"/>
  </si>
  <si>
    <t>KEWPIE CHEF STYLE MAYO</t>
    <phoneticPr fontId="2" type="noConversion"/>
  </si>
  <si>
    <t>SOSIS BAKAR (CHICKEN)</t>
    <phoneticPr fontId="2" type="noConversion"/>
  </si>
  <si>
    <t>F027</t>
    <phoneticPr fontId="2" type="noConversion"/>
  </si>
  <si>
    <t>PK011</t>
    <phoneticPr fontId="2" type="noConversion"/>
  </si>
  <si>
    <t>PK013</t>
    <phoneticPr fontId="2" type="noConversion"/>
  </si>
  <si>
    <t>TRANSFER</t>
    <phoneticPr fontId="2" type="noConversion"/>
  </si>
  <si>
    <t>D/O</t>
    <phoneticPr fontId="2" type="noConversion"/>
  </si>
  <si>
    <t>PK045</t>
    <phoneticPr fontId="2" type="noConversion"/>
  </si>
  <si>
    <t>P012</t>
    <phoneticPr fontId="2" type="noConversion"/>
  </si>
  <si>
    <t>S010</t>
    <phoneticPr fontId="2" type="noConversion"/>
  </si>
  <si>
    <t>CK102</t>
    <phoneticPr fontId="2" type="noConversion"/>
  </si>
  <si>
    <t>M010</t>
    <phoneticPr fontId="2" type="noConversion"/>
  </si>
  <si>
    <t>K-Nugget (Gangjeong) - 4pcs</t>
    <phoneticPr fontId="2" type="noConversion"/>
  </si>
  <si>
    <t>K-Wings (Cheeseling) - 4pcs</t>
    <phoneticPr fontId="2" type="noConversion"/>
  </si>
  <si>
    <t>K-Wings (Mala-Hot) - 4pcs</t>
    <phoneticPr fontId="2" type="noConversion"/>
  </si>
  <si>
    <t>S005</t>
    <phoneticPr fontId="2" type="noConversion"/>
  </si>
  <si>
    <t>PK058</t>
    <phoneticPr fontId="2" type="noConversion"/>
  </si>
  <si>
    <t>K-Nugget (Mala Hot) - 4pcs</t>
    <phoneticPr fontId="2" type="noConversion"/>
  </si>
  <si>
    <t>M011</t>
    <phoneticPr fontId="2" type="noConversion"/>
  </si>
  <si>
    <t>K-Nugget (Gangjeong) - 6pcs</t>
    <phoneticPr fontId="2" type="noConversion"/>
  </si>
  <si>
    <t>M012</t>
    <phoneticPr fontId="2" type="noConversion"/>
  </si>
  <si>
    <t>M013</t>
  </si>
  <si>
    <t>M013</t>
    <phoneticPr fontId="2" type="noConversion"/>
  </si>
  <si>
    <t>M014</t>
  </si>
  <si>
    <t>M014</t>
    <phoneticPr fontId="2" type="noConversion"/>
  </si>
  <si>
    <t>M015</t>
    <phoneticPr fontId="2" type="noConversion"/>
  </si>
  <si>
    <t>French Fries - Original</t>
    <phoneticPr fontId="2" type="noConversion"/>
  </si>
  <si>
    <t>PK019</t>
    <phoneticPr fontId="2" type="noConversion"/>
  </si>
  <si>
    <t>M016</t>
    <phoneticPr fontId="2" type="noConversion"/>
  </si>
  <si>
    <t>French Fries - Chessling</t>
    <phoneticPr fontId="2" type="noConversion"/>
  </si>
  <si>
    <t>M017</t>
  </si>
  <si>
    <t>M017</t>
    <phoneticPr fontId="2" type="noConversion"/>
  </si>
  <si>
    <t>French Fries - Hot Spicy</t>
    <phoneticPr fontId="2" type="noConversion"/>
  </si>
  <si>
    <t>S002</t>
    <phoneticPr fontId="2" type="noConversion"/>
  </si>
  <si>
    <t>F028</t>
    <phoneticPr fontId="2" type="noConversion"/>
  </si>
  <si>
    <t>F027</t>
    <phoneticPr fontId="2" type="noConversion"/>
  </si>
  <si>
    <t xml:space="preserve">Designed Store COGS </t>
    <phoneticPr fontId="2" type="noConversion"/>
  </si>
  <si>
    <t>A004</t>
  </si>
  <si>
    <t>A005</t>
  </si>
  <si>
    <t>A006</t>
  </si>
  <si>
    <t>A007</t>
  </si>
  <si>
    <t>A008</t>
  </si>
  <si>
    <t>A009</t>
  </si>
  <si>
    <t>A010</t>
  </si>
  <si>
    <t>A011</t>
  </si>
  <si>
    <t>A012</t>
  </si>
  <si>
    <t>C003</t>
  </si>
  <si>
    <t>C004</t>
  </si>
  <si>
    <t>C005</t>
  </si>
  <si>
    <t>C006</t>
  </si>
  <si>
    <t>C007</t>
  </si>
  <si>
    <t>C008</t>
  </si>
  <si>
    <t>C009</t>
  </si>
  <si>
    <t>C010</t>
  </si>
  <si>
    <t>C011</t>
  </si>
  <si>
    <t>C012</t>
  </si>
  <si>
    <t>C013</t>
  </si>
  <si>
    <t>C014</t>
  </si>
  <si>
    <t>C015</t>
  </si>
  <si>
    <t>C016</t>
  </si>
  <si>
    <t>C017</t>
  </si>
  <si>
    <t>C018</t>
  </si>
  <si>
    <t>C019</t>
  </si>
  <si>
    <t>C020</t>
  </si>
  <si>
    <t>C021</t>
  </si>
  <si>
    <t>C022</t>
  </si>
  <si>
    <t>C023</t>
  </si>
  <si>
    <t>C024</t>
  </si>
  <si>
    <t>C025</t>
  </si>
  <si>
    <t>C026</t>
  </si>
  <si>
    <t>C027</t>
  </si>
  <si>
    <t>C028</t>
  </si>
  <si>
    <t>C029</t>
  </si>
  <si>
    <t>C030</t>
  </si>
  <si>
    <t>C031</t>
  </si>
  <si>
    <t>C032</t>
  </si>
  <si>
    <t>C033</t>
  </si>
  <si>
    <t>C034</t>
  </si>
  <si>
    <t>C035</t>
  </si>
  <si>
    <t>C036</t>
  </si>
  <si>
    <t>PACK</t>
  </si>
  <si>
    <t>CTN</t>
  </si>
  <si>
    <t>GRAM</t>
  </si>
  <si>
    <t>PAIL</t>
  </si>
  <si>
    <t>BTL</t>
  </si>
  <si>
    <t>KG</t>
  </si>
  <si>
    <t>LITER</t>
  </si>
  <si>
    <t>PCS</t>
  </si>
  <si>
    <t>ML</t>
  </si>
  <si>
    <t>CAN</t>
  </si>
  <si>
    <t>1st week</t>
    <phoneticPr fontId="2" type="noConversion"/>
  </si>
  <si>
    <t>2nd week</t>
    <phoneticPr fontId="2" type="noConversion"/>
  </si>
  <si>
    <t>3rd week</t>
    <phoneticPr fontId="2" type="noConversion"/>
  </si>
  <si>
    <t>COGS%</t>
    <phoneticPr fontId="2" type="noConversion"/>
  </si>
  <si>
    <t>4th week</t>
    <phoneticPr fontId="2" type="noConversion"/>
  </si>
  <si>
    <t>NET SALES</t>
    <phoneticPr fontId="2" type="noConversion"/>
  </si>
  <si>
    <t>M018</t>
  </si>
  <si>
    <t>M018</t>
    <phoneticPr fontId="2" type="noConversion"/>
  </si>
  <si>
    <t>Rice</t>
  </si>
  <si>
    <t>Rice</t>
    <phoneticPr fontId="2" type="noConversion"/>
  </si>
  <si>
    <t>M019</t>
  </si>
  <si>
    <t>M019</t>
    <phoneticPr fontId="2" type="noConversion"/>
  </si>
  <si>
    <t>Japcahe</t>
  </si>
  <si>
    <t>Japcahe</t>
    <phoneticPr fontId="2" type="noConversion"/>
  </si>
  <si>
    <t>I054</t>
    <phoneticPr fontId="2" type="noConversion"/>
  </si>
  <si>
    <t>V007</t>
    <phoneticPr fontId="2" type="noConversion"/>
  </si>
  <si>
    <t>V009</t>
    <phoneticPr fontId="2" type="noConversion"/>
  </si>
  <si>
    <t>V024</t>
    <phoneticPr fontId="2" type="noConversion"/>
  </si>
  <si>
    <t>V003</t>
    <phoneticPr fontId="2" type="noConversion"/>
  </si>
  <si>
    <t>I003</t>
    <phoneticPr fontId="2" type="noConversion"/>
  </si>
  <si>
    <t>CK032</t>
    <phoneticPr fontId="2" type="noConversion"/>
  </si>
  <si>
    <t>D001</t>
    <phoneticPr fontId="2" type="noConversion"/>
  </si>
  <si>
    <t xml:space="preserve">COKE </t>
  </si>
  <si>
    <t xml:space="preserve">COKE </t>
    <phoneticPr fontId="2" type="noConversion"/>
  </si>
  <si>
    <t>SPRITE</t>
  </si>
  <si>
    <t>SPRITE</t>
    <phoneticPr fontId="2" type="noConversion"/>
  </si>
  <si>
    <t>FANTA</t>
  </si>
  <si>
    <t>FANTA</t>
    <phoneticPr fontId="2" type="noConversion"/>
  </si>
  <si>
    <t>ICE TEA (PLAIN)</t>
  </si>
  <si>
    <t>ICE TEA (PLAIN)</t>
    <phoneticPr fontId="2" type="noConversion"/>
  </si>
  <si>
    <t>D025</t>
    <phoneticPr fontId="2" type="noConversion"/>
  </si>
  <si>
    <t xml:space="preserve">Soda Water </t>
    <phoneticPr fontId="2" type="noConversion"/>
  </si>
  <si>
    <t>250ml</t>
    <phoneticPr fontId="2" type="noConversion"/>
  </si>
  <si>
    <t>D025</t>
    <phoneticPr fontId="2" type="noConversion"/>
  </si>
  <si>
    <t>I083</t>
    <phoneticPr fontId="2" type="noConversion"/>
  </si>
  <si>
    <t>Honey</t>
    <phoneticPr fontId="2" type="noConversion"/>
  </si>
  <si>
    <t>5L</t>
    <phoneticPr fontId="2" type="noConversion"/>
  </si>
  <si>
    <t>I083</t>
    <phoneticPr fontId="2" type="noConversion"/>
  </si>
  <si>
    <t>D012</t>
    <phoneticPr fontId="2" type="noConversion"/>
  </si>
  <si>
    <t>D026</t>
    <phoneticPr fontId="2" type="noConversion"/>
  </si>
  <si>
    <t>ICE TEA (Lychee)</t>
  </si>
  <si>
    <t>ICE TEA (Lychee)</t>
    <phoneticPr fontId="2" type="noConversion"/>
  </si>
  <si>
    <t>D015</t>
    <phoneticPr fontId="2" type="noConversion"/>
  </si>
  <si>
    <t>ICE TEA (Mango)</t>
  </si>
  <si>
    <t>ICE TEA (Mango)</t>
    <phoneticPr fontId="2" type="noConversion"/>
  </si>
  <si>
    <t>ICE TEA (Peach)</t>
  </si>
  <si>
    <t>ICE TEA (Peach)</t>
    <phoneticPr fontId="2" type="noConversion"/>
  </si>
  <si>
    <t>D016</t>
    <phoneticPr fontId="2" type="noConversion"/>
  </si>
  <si>
    <t>D017</t>
    <phoneticPr fontId="2" type="noConversion"/>
  </si>
  <si>
    <t>D006</t>
    <phoneticPr fontId="2" type="noConversion"/>
  </si>
  <si>
    <t>FIZZ (Peach)</t>
  </si>
  <si>
    <t>FIZZ (Peach)</t>
    <phoneticPr fontId="2" type="noConversion"/>
  </si>
  <si>
    <t>FIZZ (Mango)</t>
  </si>
  <si>
    <t>FIZZ (Mango)</t>
    <phoneticPr fontId="2" type="noConversion"/>
  </si>
  <si>
    <t>FIZZ (Grape)</t>
  </si>
  <si>
    <t>FIZZ (Grape)</t>
    <phoneticPr fontId="2" type="noConversion"/>
  </si>
  <si>
    <t>D014</t>
    <phoneticPr fontId="2" type="noConversion"/>
  </si>
  <si>
    <t>FIZZ (Rose)</t>
  </si>
  <si>
    <t>FIZZ (Rose)</t>
    <phoneticPr fontId="2" type="noConversion"/>
  </si>
  <si>
    <t>D018</t>
    <phoneticPr fontId="2" type="noConversion"/>
  </si>
  <si>
    <t>Korean Drink</t>
  </si>
  <si>
    <t>Korean Drink</t>
    <phoneticPr fontId="2" type="noConversion"/>
  </si>
  <si>
    <t>I077</t>
    <phoneticPr fontId="2" type="noConversion"/>
  </si>
  <si>
    <t>D024</t>
    <phoneticPr fontId="2" type="noConversion"/>
  </si>
  <si>
    <t>I001</t>
    <phoneticPr fontId="2" type="noConversion"/>
  </si>
  <si>
    <t>NESCAFE CLASSICE (HOT)</t>
  </si>
  <si>
    <t>NESCAFE CLASSICE (HOT)</t>
    <phoneticPr fontId="2" type="noConversion"/>
  </si>
  <si>
    <t>D022</t>
    <phoneticPr fontId="2" type="noConversion"/>
  </si>
  <si>
    <t>D023</t>
    <phoneticPr fontId="2" type="noConversion"/>
  </si>
  <si>
    <t>NESCAFE CLASSICE (ICE)</t>
  </si>
  <si>
    <t>NESCAFE CLASSICE (ICE)</t>
    <phoneticPr fontId="2" type="noConversion"/>
  </si>
  <si>
    <t>SUNDAE ICECREAM (Vanila)</t>
  </si>
  <si>
    <t>SUNDAE ICECREAM (Vanila)</t>
    <phoneticPr fontId="2" type="noConversion"/>
  </si>
  <si>
    <t>I065</t>
    <phoneticPr fontId="2" type="noConversion"/>
  </si>
  <si>
    <t>D019</t>
    <phoneticPr fontId="2" type="noConversion"/>
  </si>
  <si>
    <t>I069</t>
    <phoneticPr fontId="2" type="noConversion"/>
  </si>
  <si>
    <t>I066</t>
    <phoneticPr fontId="2" type="noConversion"/>
  </si>
  <si>
    <t>I068</t>
    <phoneticPr fontId="2" type="noConversion"/>
  </si>
  <si>
    <t xml:space="preserve">MINERAL WATER </t>
  </si>
  <si>
    <t xml:space="preserve">MINERAL WATER </t>
    <phoneticPr fontId="2" type="noConversion"/>
  </si>
  <si>
    <t>D021</t>
    <phoneticPr fontId="2" type="noConversion"/>
  </si>
  <si>
    <t>B001</t>
    <phoneticPr fontId="2" type="noConversion"/>
  </si>
  <si>
    <t>B002</t>
    <phoneticPr fontId="2" type="noConversion"/>
  </si>
  <si>
    <t>B003</t>
  </si>
  <si>
    <t>B003</t>
    <phoneticPr fontId="2" type="noConversion"/>
  </si>
  <si>
    <t>B004</t>
  </si>
  <si>
    <t>B004</t>
    <phoneticPr fontId="2" type="noConversion"/>
  </si>
  <si>
    <t>B005</t>
  </si>
  <si>
    <t>B005</t>
    <phoneticPr fontId="2" type="noConversion"/>
  </si>
  <si>
    <t>B006</t>
  </si>
  <si>
    <t>B006</t>
    <phoneticPr fontId="2" type="noConversion"/>
  </si>
  <si>
    <t>B007</t>
  </si>
  <si>
    <t>B007</t>
    <phoneticPr fontId="2" type="noConversion"/>
  </si>
  <si>
    <t>B008</t>
  </si>
  <si>
    <t>B008</t>
    <phoneticPr fontId="2" type="noConversion"/>
  </si>
  <si>
    <t>B009</t>
  </si>
  <si>
    <t>B009</t>
    <phoneticPr fontId="2" type="noConversion"/>
  </si>
  <si>
    <t>B010</t>
  </si>
  <si>
    <t>B010</t>
    <phoneticPr fontId="2" type="noConversion"/>
  </si>
  <si>
    <t>B011</t>
  </si>
  <si>
    <t>B011</t>
    <phoneticPr fontId="2" type="noConversion"/>
  </si>
  <si>
    <t>B012</t>
  </si>
  <si>
    <t>B012</t>
    <phoneticPr fontId="2" type="noConversion"/>
  </si>
  <si>
    <t>B013</t>
  </si>
  <si>
    <t>B013</t>
    <phoneticPr fontId="2" type="noConversion"/>
  </si>
  <si>
    <t>B014</t>
  </si>
  <si>
    <t>B014</t>
    <phoneticPr fontId="2" type="noConversion"/>
  </si>
  <si>
    <t>B015</t>
  </si>
  <si>
    <t>B015</t>
    <phoneticPr fontId="2" type="noConversion"/>
  </si>
  <si>
    <t>B016</t>
  </si>
  <si>
    <t>B016</t>
    <phoneticPr fontId="2" type="noConversion"/>
  </si>
  <si>
    <t>B017</t>
  </si>
  <si>
    <t>B017</t>
    <phoneticPr fontId="2" type="noConversion"/>
  </si>
  <si>
    <t>B018</t>
  </si>
  <si>
    <t>B018</t>
    <phoneticPr fontId="2" type="noConversion"/>
  </si>
  <si>
    <t>B019</t>
  </si>
  <si>
    <t>B019</t>
    <phoneticPr fontId="2" type="noConversion"/>
  </si>
  <si>
    <t>B020</t>
  </si>
  <si>
    <t>B020</t>
    <phoneticPr fontId="2" type="noConversion"/>
  </si>
  <si>
    <t>B001</t>
    <phoneticPr fontId="2" type="noConversion"/>
  </si>
  <si>
    <t>B002</t>
    <phoneticPr fontId="2" type="noConversion"/>
  </si>
  <si>
    <t>B003</t>
    <phoneticPr fontId="2" type="noConversion"/>
  </si>
  <si>
    <t xml:space="preserve">ACTUAL
USAGE 
(4th week) </t>
    <phoneticPr fontId="2" type="noConversion"/>
  </si>
  <si>
    <t>Month End</t>
  </si>
  <si>
    <t>5th week</t>
  </si>
  <si>
    <t>PARCHMENT PAPER / WRAPPING RICE</t>
  </si>
  <si>
    <t>S059</t>
  </si>
  <si>
    <t>BULDAK SAUCE</t>
  </si>
  <si>
    <t>Fire Hot Chicken (1pc) - Ala Carte</t>
  </si>
  <si>
    <t>Fire Hot Chicken (4pcs) - Ala Carte</t>
  </si>
  <si>
    <t xml:space="preserve">Fire Hot Chicken (1pc) - Rice Combo </t>
  </si>
  <si>
    <t>Fire Hot Chicken (1pc) - Fries Combo</t>
  </si>
  <si>
    <t>Fire Hot Chicken (1pc) - Tteokbokki Combo</t>
  </si>
  <si>
    <t>Fire Hot Chicken (2pcs) - Rice Combo</t>
  </si>
  <si>
    <t>Fire Hot Chicken (2pcs) - Fries Combo</t>
  </si>
  <si>
    <t>Fire Hot Chicken (2pcs) - Tteokbokki Combo</t>
  </si>
  <si>
    <t>A001</t>
    <phoneticPr fontId="4" type="noConversion"/>
  </si>
  <si>
    <t>A002</t>
    <phoneticPr fontId="4" type="noConversion"/>
  </si>
  <si>
    <t>A003</t>
    <phoneticPr fontId="4" type="noConversion"/>
  </si>
  <si>
    <t>A004</t>
    <phoneticPr fontId="4" type="noConversion"/>
  </si>
  <si>
    <t>A005</t>
    <phoneticPr fontId="4" type="noConversion"/>
  </si>
  <si>
    <t>A006</t>
    <phoneticPr fontId="4" type="noConversion"/>
  </si>
  <si>
    <t>Creamy Onion Chicken (1pc) - Ala Carte</t>
  </si>
  <si>
    <t>A007</t>
    <phoneticPr fontId="4" type="noConversion"/>
  </si>
  <si>
    <t>A008</t>
    <phoneticPr fontId="4" type="noConversion"/>
  </si>
  <si>
    <t>A009</t>
    <phoneticPr fontId="4" type="noConversion"/>
  </si>
  <si>
    <t>A010</t>
    <phoneticPr fontId="4" type="noConversion"/>
  </si>
  <si>
    <t>A011</t>
    <phoneticPr fontId="4" type="noConversion"/>
  </si>
  <si>
    <t>A012</t>
    <phoneticPr fontId="4" type="noConversion"/>
  </si>
  <si>
    <t>Creamy Onion Chicken (4pcs) - Ala Carte</t>
  </si>
  <si>
    <t>C001</t>
    <phoneticPr fontId="4" type="noConversion"/>
  </si>
  <si>
    <t>C002</t>
    <phoneticPr fontId="4" type="noConversion"/>
  </si>
  <si>
    <t>C003</t>
    <phoneticPr fontId="4" type="noConversion"/>
  </si>
  <si>
    <t>C004</t>
    <phoneticPr fontId="4" type="noConversion"/>
  </si>
  <si>
    <t>C005</t>
    <phoneticPr fontId="4" type="noConversion"/>
  </si>
  <si>
    <t>C006</t>
    <phoneticPr fontId="4" type="noConversion"/>
  </si>
  <si>
    <t xml:space="preserve">Creamy Onion Chicken (1pc) - Rice Combo </t>
  </si>
  <si>
    <t>C007</t>
    <phoneticPr fontId="4" type="noConversion"/>
  </si>
  <si>
    <t>C008</t>
    <phoneticPr fontId="4" type="noConversion"/>
  </si>
  <si>
    <t>C009</t>
    <phoneticPr fontId="4" type="noConversion"/>
  </si>
  <si>
    <t>C010</t>
    <phoneticPr fontId="4" type="noConversion"/>
  </si>
  <si>
    <t>C011</t>
    <phoneticPr fontId="4" type="noConversion"/>
  </si>
  <si>
    <t>C012</t>
    <phoneticPr fontId="4" type="noConversion"/>
  </si>
  <si>
    <t>Creamy Onion Chicken (1pc) - Fries Combo</t>
  </si>
  <si>
    <t>C013</t>
    <phoneticPr fontId="4" type="noConversion"/>
  </si>
  <si>
    <t>C014</t>
    <phoneticPr fontId="4" type="noConversion"/>
  </si>
  <si>
    <t>C015</t>
    <phoneticPr fontId="4" type="noConversion"/>
  </si>
  <si>
    <t>C016</t>
    <phoneticPr fontId="4" type="noConversion"/>
  </si>
  <si>
    <t>C017</t>
    <phoneticPr fontId="4" type="noConversion"/>
  </si>
  <si>
    <t>C018</t>
    <phoneticPr fontId="4" type="noConversion"/>
  </si>
  <si>
    <t>Creamy Onion Chicken (1pc) - Tteokbokki Combo</t>
  </si>
  <si>
    <t>C019</t>
    <phoneticPr fontId="4" type="noConversion"/>
  </si>
  <si>
    <t>C020</t>
    <phoneticPr fontId="4" type="noConversion"/>
  </si>
  <si>
    <t>C021</t>
    <phoneticPr fontId="4" type="noConversion"/>
  </si>
  <si>
    <t>C022</t>
    <phoneticPr fontId="4" type="noConversion"/>
  </si>
  <si>
    <t>C023</t>
    <phoneticPr fontId="4" type="noConversion"/>
  </si>
  <si>
    <t>C024</t>
    <phoneticPr fontId="4" type="noConversion"/>
  </si>
  <si>
    <t>Creamy Onion Chicken (2pcs) - Rice Combo</t>
  </si>
  <si>
    <t>C025</t>
    <phoneticPr fontId="4" type="noConversion"/>
  </si>
  <si>
    <t>C026</t>
    <phoneticPr fontId="4" type="noConversion"/>
  </si>
  <si>
    <t>C027</t>
    <phoneticPr fontId="4" type="noConversion"/>
  </si>
  <si>
    <t>C028</t>
    <phoneticPr fontId="4" type="noConversion"/>
  </si>
  <si>
    <t>C029</t>
    <phoneticPr fontId="4" type="noConversion"/>
  </si>
  <si>
    <t>C030</t>
    <phoneticPr fontId="4" type="noConversion"/>
  </si>
  <si>
    <t>Creamy Onion Chicken (2pcs) - Fries Combo</t>
  </si>
  <si>
    <t>C031</t>
    <phoneticPr fontId="4" type="noConversion"/>
  </si>
  <si>
    <t>C032</t>
    <phoneticPr fontId="4" type="noConversion"/>
  </si>
  <si>
    <t>C033</t>
    <phoneticPr fontId="4" type="noConversion"/>
  </si>
  <si>
    <t>C034</t>
    <phoneticPr fontId="4" type="noConversion"/>
  </si>
  <si>
    <t>C035</t>
    <phoneticPr fontId="4" type="noConversion"/>
  </si>
  <si>
    <t>C036</t>
    <phoneticPr fontId="4" type="noConversion"/>
  </si>
  <si>
    <t>Creamy Onion Chicken (2pcs) - Tteokbokki Combo</t>
  </si>
  <si>
    <t>M001</t>
    <phoneticPr fontId="4" type="noConversion"/>
  </si>
  <si>
    <t>M002</t>
    <phoneticPr fontId="4" type="noConversion"/>
  </si>
  <si>
    <t>M003</t>
    <phoneticPr fontId="4" type="noConversion"/>
  </si>
  <si>
    <t>Bulk Spicy Cupbap</t>
  </si>
  <si>
    <t>Fire Hot Cupbap</t>
  </si>
  <si>
    <t>M004</t>
    <phoneticPr fontId="4" type="noConversion"/>
  </si>
  <si>
    <t>M005</t>
    <phoneticPr fontId="4" type="noConversion"/>
  </si>
  <si>
    <t>M006</t>
    <phoneticPr fontId="4" type="noConversion"/>
  </si>
  <si>
    <t xml:space="preserve">Fried Mandu (Chicken) </t>
    <phoneticPr fontId="4" type="noConversion"/>
  </si>
  <si>
    <t>M007</t>
    <phoneticPr fontId="4" type="noConversion"/>
  </si>
  <si>
    <t>Fried Mandu (Beef)</t>
    <phoneticPr fontId="4" type="noConversion"/>
  </si>
  <si>
    <t>M008</t>
    <phoneticPr fontId="4" type="noConversion"/>
  </si>
  <si>
    <t>K-Wings (Cheeseling) - 4pcs</t>
    <phoneticPr fontId="4" type="noConversion"/>
  </si>
  <si>
    <t>M009</t>
    <phoneticPr fontId="4" type="noConversion"/>
  </si>
  <si>
    <t>K-Wings (Mala-Hot) - 4pcs</t>
    <phoneticPr fontId="4" type="noConversion"/>
  </si>
  <si>
    <t>M010</t>
    <phoneticPr fontId="4" type="noConversion"/>
  </si>
  <si>
    <t>Cheese Stick</t>
    <phoneticPr fontId="4" type="noConversion"/>
  </si>
  <si>
    <t>M011</t>
    <phoneticPr fontId="4" type="noConversion"/>
  </si>
  <si>
    <t>K-Nugget (Gangjeong) - 4pcs</t>
    <phoneticPr fontId="4" type="noConversion"/>
  </si>
  <si>
    <t>M012</t>
    <phoneticPr fontId="4" type="noConversion"/>
  </si>
  <si>
    <t>K-Nugget (Mala Hot) - 4pcs</t>
    <phoneticPr fontId="4" type="noConversion"/>
  </si>
  <si>
    <t>K-Nugget (Creamy Onion) - 4pcs</t>
  </si>
  <si>
    <t>M013</t>
    <phoneticPr fontId="4" type="noConversion"/>
  </si>
  <si>
    <t>K-Nugget (Gangjeong) - 6pcs</t>
    <phoneticPr fontId="4" type="noConversion"/>
  </si>
  <si>
    <t>M014</t>
    <phoneticPr fontId="4" type="noConversion"/>
  </si>
  <si>
    <t>K-Nugget (Mala Hot) - 6pcs</t>
  </si>
  <si>
    <t>K-Nugget (Creamy Onion) - 6pcs</t>
  </si>
  <si>
    <t>M015</t>
    <phoneticPr fontId="4" type="noConversion"/>
  </si>
  <si>
    <t>French Fries - Original</t>
    <phoneticPr fontId="4" type="noConversion"/>
  </si>
  <si>
    <t>M016</t>
    <phoneticPr fontId="4" type="noConversion"/>
  </si>
  <si>
    <t>French Fries - Chessling</t>
    <phoneticPr fontId="4" type="noConversion"/>
  </si>
  <si>
    <t>M017</t>
    <phoneticPr fontId="4" type="noConversion"/>
  </si>
  <si>
    <t>French Fries - Hot Spicy</t>
    <phoneticPr fontId="4" type="noConversion"/>
  </si>
  <si>
    <t>M018</t>
    <phoneticPr fontId="4" type="noConversion"/>
  </si>
  <si>
    <t>M019</t>
    <phoneticPr fontId="4" type="noConversion"/>
  </si>
  <si>
    <t>B001</t>
    <phoneticPr fontId="4" type="noConversion"/>
  </si>
  <si>
    <t>B002</t>
    <phoneticPr fontId="4" type="noConversion"/>
  </si>
  <si>
    <t>K-Nugget (Fire Hot) - 4pcs</t>
  </si>
  <si>
    <t>K-Nugget (Fire Hot) - 6pcs</t>
  </si>
  <si>
    <t>CODE</t>
  </si>
  <si>
    <t xml:space="preserve">Fire Hot Chicken (1pc) - Ala Carte </t>
  </si>
  <si>
    <t>A013</t>
  </si>
  <si>
    <t>I084</t>
  </si>
  <si>
    <t>CHILI SACHET MC LEWIS</t>
  </si>
  <si>
    <t>S061</t>
  </si>
  <si>
    <t>Wang Galbi Sauce</t>
  </si>
  <si>
    <t>S062</t>
  </si>
  <si>
    <t>Sour Cream</t>
  </si>
  <si>
    <t>SOUR CREAM</t>
  </si>
  <si>
    <t>1,2kg</t>
  </si>
  <si>
    <t>S063</t>
  </si>
  <si>
    <t>Mae Mustard</t>
  </si>
  <si>
    <t>S064</t>
  </si>
  <si>
    <t>Cheese Sauce</t>
  </si>
  <si>
    <t>MAE MUSTARD</t>
  </si>
  <si>
    <t>CHEESE SAUCE</t>
  </si>
  <si>
    <t>500 Gr</t>
  </si>
  <si>
    <t>OPPA JAPCHAE</t>
  </si>
  <si>
    <t>0,5 GR</t>
  </si>
  <si>
    <t>I085</t>
  </si>
  <si>
    <t>500g</t>
  </si>
  <si>
    <t>200g*6pack</t>
  </si>
  <si>
    <t>pack</t>
  </si>
  <si>
    <t>25pcs</t>
  </si>
  <si>
    <t>STORE : PURI</t>
  </si>
  <si>
    <t>PERIOD : 1 - 4 January</t>
  </si>
  <si>
    <t>PURI</t>
  </si>
  <si>
    <t>1-4 January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</si>
</sst>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2">
    <numFmt numFmtId="41" formatCode="_-* #,##0_-;\-* #,##0_-;_-* &quot;-&quot;_-;_-@_-"/>
    <numFmt numFmtId="43" formatCode="_-* #,##0.00_-;\-* #,##0.00_-;_-* &quot;-&quot;??_-;_-@_-"/>
    <numFmt numFmtId="164" formatCode="_-\$* #,##0.00_ ;_-\$* \-#,##0.00\ ;_-\$* &quot;-&quot;??_ ;_-@_ "/>
    <numFmt numFmtId="165" formatCode="0.0000"/>
    <numFmt numFmtId="166" formatCode="_-\$* #,##0.0000_ ;_-\$* \-#,##0.0000\ ;_-\$* &quot;-&quot;????_ ;_-@_ "/>
    <numFmt numFmtId="167" formatCode="_-&quot;₩&quot;* #,##0.0_-;\-&quot;₩&quot;* #,##0.0_-;_-&quot;₩&quot;* &quot;-&quot;_-;_-@_-"/>
    <numFmt numFmtId="168" formatCode="0_);[Red]\(0\)"/>
    <numFmt numFmtId="169" formatCode="_-* #,##0.0_-;\-* #,##0.0_-;_-* &quot;-&quot;_-;_-@_-"/>
    <numFmt numFmtId="170" formatCode="0.0%"/>
    <numFmt numFmtId="171" formatCode="_-* #,##0.00_-;\-* #,##0.00_-;_-* &quot;-&quot;_-;_-@_-"/>
    <numFmt numFmtId="172" formatCode="_-* #,##0.0_-;\-* #,##0.0_-;_-* &quot;-&quot;??_-;_-@_-"/>
    <numFmt numFmtId="173" formatCode="0.0"/>
    <numFmt numFmtId="174" formatCode="_-[$Rp-3809]* #,##0_-;\-[$Rp-3809]* #,##0_-;_-[$Rp-3809]* &quot;-&quot;??_-;_-@_-"/>
    <numFmt numFmtId="175" formatCode="_-[$$-409]* #,##0.00_ ;_-[$$-409]* \-#,##0.00\ ;_-[$$-409]* &quot;-&quot;??_ ;_-@_ "/>
    <numFmt numFmtId="176" formatCode="_-[$Rp]* #,##0.00_-;\-[$Rp]* #,##0.00_-;_-[$Rp]* &quot;-&quot;??_-;_-@_-" x16r2:formatCode16="_-[$Rp-jv-Java-ID]* #,##0.00_-;\-[$Rp-jv-Java-ID]* #,##0.00_-;_-[$Rp-jv-Java-ID]* &quot;-&quot;??_-;_-@_-"/>
    <numFmt numFmtId="177" formatCode="_-[$Rp-3809]* #,##0.00_-;\-[$Rp-3809]* #,##0.00_-;_-[$Rp-3809]* &quot;-&quot;??_-;_-@_-"/>
    <numFmt numFmtId="178" formatCode="#,##0_);[Red]\(#,##0\)"/>
    <numFmt numFmtId="179" formatCode="_-[$IDR]\ * #,##0_-;\-[$IDR]\ * #,##0_-;_-[$IDR]\ * &quot;-&quot;??_-;_-@_-"/>
    <numFmt numFmtId="180" formatCode="[$IDR]\ #,##0.00_);[Red]\([$IDR]\ #,##0.00\)"/>
    <numFmt numFmtId="181" formatCode="0.0_);[Red]\(0.0\)"/>
    <numFmt numFmtId="182" formatCode="_-[$IDR]\ * #,##0.00_-;\-[$IDR]\ * #,##0.00_-;_-[$IDR]\ * &quot;-&quot;??_-;_-@_-"/>
    <numFmt numFmtId="183" formatCode="[$IDR]\ #,##0.00;[Red][$IDR]\ #,##0.00"/>
  </numFmts>
  <fonts count="60">
    <font>
      <sz val="11"/>
      <color theme="1"/>
      <name val="Calibri"/>
      <family val="2"/>
      <charset val="129"/>
      <scheme val="minor"/>
    </font>
    <font>
      <sz val="11"/>
      <color theme="1"/>
      <name val="Calibri"/>
      <family val="2"/>
      <charset val="129"/>
      <scheme val="minor"/>
    </font>
    <font>
      <sz val="8"/>
      <name val="Calibri"/>
      <family val="2"/>
      <charset val="129"/>
      <scheme val="minor"/>
    </font>
    <font>
      <b/>
      <sz val="11"/>
      <color theme="0"/>
      <name val="Calibri"/>
      <family val="3"/>
      <charset val="129"/>
      <scheme val="minor"/>
    </font>
    <font>
      <b/>
      <sz val="11"/>
      <color theme="1"/>
      <name val="Calibri"/>
      <family val="3"/>
      <charset val="129"/>
      <scheme val="minor"/>
    </font>
    <font>
      <b/>
      <u val="double"/>
      <sz val="20"/>
      <color theme="1"/>
      <name val="Calibri"/>
      <family val="3"/>
      <charset val="129"/>
      <scheme val="minor"/>
    </font>
    <font>
      <sz val="10"/>
      <color theme="1"/>
      <name val="Calibri"/>
      <family val="2"/>
      <charset val="129"/>
      <scheme val="minor"/>
    </font>
    <font>
      <sz val="10"/>
      <color theme="1"/>
      <name val="Calibri"/>
      <family val="3"/>
      <charset val="129"/>
      <scheme val="minor"/>
    </font>
    <font>
      <sz val="11"/>
      <color theme="1"/>
      <name val="Calibri"/>
      <family val="3"/>
      <charset val="129"/>
      <scheme val="minor"/>
    </font>
    <font>
      <sz val="11"/>
      <color rgb="FF000000"/>
      <name val="맑은 고딕"/>
      <family val="3"/>
      <charset val="129"/>
    </font>
    <font>
      <sz val="11"/>
      <color rgb="FF000000"/>
      <name val="돋움"/>
      <family val="2"/>
      <charset val="129"/>
    </font>
    <font>
      <b/>
      <sz val="20"/>
      <color rgb="FF000000"/>
      <name val="맑은 고딕"/>
      <family val="3"/>
      <charset val="129"/>
    </font>
    <font>
      <b/>
      <sz val="11"/>
      <color rgb="FFFF0000"/>
      <name val="맑은 고딕"/>
      <family val="3"/>
      <charset val="129"/>
    </font>
    <font>
      <sz val="10"/>
      <color rgb="FF000000"/>
      <name val="맑은 고딕"/>
      <family val="3"/>
      <charset val="129"/>
    </font>
    <font>
      <b/>
      <sz val="11"/>
      <color rgb="FF000000"/>
      <name val="맑은 고딕"/>
      <family val="3"/>
      <charset val="129"/>
    </font>
    <font>
      <b/>
      <sz val="10"/>
      <color rgb="FFFF0000"/>
      <name val="맑은 고딕"/>
      <family val="3"/>
      <charset val="129"/>
    </font>
    <font>
      <b/>
      <sz val="11"/>
      <color rgb="FF003366"/>
      <name val="Calibri"/>
      <family val="2"/>
    </font>
    <font>
      <sz val="11"/>
      <name val="돋움"/>
      <family val="3"/>
      <charset val="129"/>
    </font>
    <font>
      <b/>
      <sz val="11"/>
      <color rgb="FF003366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12"/>
      <color rgb="FF000000"/>
      <name val="굴림체"/>
      <family val="3"/>
      <charset val="129"/>
    </font>
    <font>
      <sz val="11"/>
      <color rgb="FF000000"/>
      <name val="Calibri"/>
      <family val="2"/>
      <scheme val="minor"/>
    </font>
    <font>
      <u/>
      <sz val="11"/>
      <color theme="10"/>
      <name val="Calibri"/>
      <family val="2"/>
      <charset val="129"/>
      <scheme val="minor"/>
    </font>
    <font>
      <sz val="10"/>
      <color rgb="FFC00000"/>
      <name val="Calibri"/>
      <family val="3"/>
      <charset val="129"/>
      <scheme val="minor"/>
    </font>
    <font>
      <sz val="11"/>
      <color theme="0" tint="-0.14999847407452621"/>
      <name val="Calibri"/>
      <family val="2"/>
      <charset val="129"/>
      <scheme val="minor"/>
    </font>
    <font>
      <sz val="10"/>
      <color theme="0" tint="-0.14999847407452621"/>
      <name val="Calibri"/>
      <family val="2"/>
      <charset val="129"/>
      <scheme val="minor"/>
    </font>
    <font>
      <b/>
      <sz val="12"/>
      <color theme="0"/>
      <name val="맑은 고딕"/>
      <family val="3"/>
      <charset val="129"/>
    </font>
    <font>
      <b/>
      <sz val="16"/>
      <color theme="0"/>
      <name val="맑은 고딕"/>
      <family val="3"/>
      <charset val="129"/>
    </font>
    <font>
      <b/>
      <sz val="11"/>
      <color theme="0"/>
      <name val="맑은 고딕"/>
      <family val="3"/>
      <charset val="129"/>
    </font>
    <font>
      <b/>
      <sz val="10"/>
      <color theme="0"/>
      <name val="Calibri"/>
      <family val="3"/>
      <charset val="129"/>
      <scheme val="minor"/>
    </font>
    <font>
      <b/>
      <sz val="10"/>
      <color theme="0"/>
      <name val="Calibri"/>
      <family val="2"/>
      <charset val="129"/>
      <scheme val="minor"/>
    </font>
    <font>
      <b/>
      <sz val="11"/>
      <name val="맑은 고딕"/>
      <family val="3"/>
      <charset val="129"/>
    </font>
    <font>
      <b/>
      <sz val="12"/>
      <color theme="1"/>
      <name val="Calibri"/>
      <family val="3"/>
      <charset val="129"/>
      <scheme val="minor"/>
    </font>
    <font>
      <b/>
      <sz val="10"/>
      <color theme="1"/>
      <name val="Calibri"/>
      <family val="2"/>
      <charset val="129"/>
      <scheme val="minor"/>
    </font>
    <font>
      <sz val="10"/>
      <name val="Calibri"/>
      <family val="3"/>
      <charset val="129"/>
      <scheme val="minor"/>
    </font>
    <font>
      <sz val="11"/>
      <name val="맑은 고딕"/>
      <family val="3"/>
      <charset val="129"/>
    </font>
    <font>
      <sz val="9"/>
      <color theme="1"/>
      <name val="Arial"/>
      <family val="2"/>
    </font>
    <font>
      <sz val="10"/>
      <name val="Calibri"/>
      <family val="2"/>
      <scheme val="minor"/>
    </font>
    <font>
      <b/>
      <sz val="1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theme="1"/>
      <name val="Arial"/>
      <family val="2"/>
    </font>
    <font>
      <b/>
      <u val="double"/>
      <sz val="10"/>
      <color theme="1"/>
      <name val="Calibri"/>
      <family val="3"/>
      <charset val="129"/>
      <scheme val="minor"/>
    </font>
    <font>
      <sz val="10"/>
      <color theme="1"/>
      <name val="Aptos Narrow"/>
      <family val="2"/>
    </font>
    <font>
      <b/>
      <sz val="18"/>
      <color theme="1"/>
      <name val="Aptos Narrow"/>
      <family val="2"/>
    </font>
    <font>
      <sz val="11"/>
      <name val="Aptos Narrow"/>
      <family val="2"/>
    </font>
    <font>
      <sz val="11"/>
      <color theme="1"/>
      <name val="Aptos Narrow"/>
      <family val="2"/>
    </font>
    <font>
      <b/>
      <sz val="10"/>
      <color theme="0"/>
      <name val="Aptos Narrow"/>
      <family val="2"/>
    </font>
    <font>
      <sz val="8"/>
      <name val="Calibri"/>
      <family val="3"/>
      <charset val="129"/>
      <scheme val="minor"/>
    </font>
    <font>
      <b/>
      <sz val="10"/>
      <color theme="1"/>
      <name val="Aptos Narrow"/>
      <family val="2"/>
    </font>
    <font>
      <sz val="10"/>
      <name val="Aptos Narrow"/>
      <family val="2"/>
    </font>
    <font>
      <b/>
      <sz val="11"/>
      <color theme="0"/>
      <name val="Calibri"/>
      <family val="2"/>
      <charset val="129"/>
      <scheme val="minor"/>
    </font>
    <font>
      <b/>
      <sz val="11"/>
      <color theme="0"/>
      <name val="Aptos Narrow"/>
      <family val="2"/>
    </font>
    <font>
      <b/>
      <sz val="12"/>
      <color theme="1"/>
      <name val="Aptos Narrow"/>
      <family val="2"/>
    </font>
    <font>
      <sz val="9"/>
      <color theme="1"/>
      <name val="Calibri"/>
      <family val="3"/>
      <charset val="129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0"/>
      <name val="Aptos Narrow"/>
      <family val="2"/>
    </font>
    <font>
      <sz val="11"/>
      <color theme="0"/>
      <name val="Calibri"/>
      <family val="2"/>
      <charset val="129"/>
      <scheme val="minor"/>
    </font>
    <font>
      <sz val="10"/>
      <color theme="0"/>
      <name val="Aptos Narrow"/>
      <family val="2"/>
    </font>
    <font>
      <sz val="12"/>
      <color theme="0"/>
      <name val="Calibri"/>
      <family val="2"/>
      <scheme val="minor"/>
    </font>
  </fonts>
  <fills count="57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002060"/>
        <bgColor rgb="FF002060"/>
      </patternFill>
    </fill>
    <fill>
      <patternFill patternType="solid">
        <fgColor rgb="FF83CAEB"/>
        <bgColor rgb="FF83CAEB"/>
      </patternFill>
    </fill>
    <fill>
      <patternFill patternType="solid">
        <fgColor theme="0"/>
        <bgColor theme="0"/>
      </patternFill>
    </fill>
    <fill>
      <patternFill patternType="solid">
        <fgColor rgb="FFF1CEEE"/>
        <bgColor rgb="FFF1CEEE"/>
      </patternFill>
    </fill>
    <fill>
      <patternFill patternType="solid">
        <fgColor rgb="FFF6C6AC"/>
        <bgColor rgb="FFF6C6AC"/>
      </patternFill>
    </fill>
    <fill>
      <patternFill patternType="solid">
        <fgColor rgb="FF84E291"/>
        <bgColor rgb="FF84E291"/>
      </patternFill>
    </fill>
    <fill>
      <patternFill patternType="solid">
        <fgColor rgb="FFC1E4F5"/>
        <bgColor rgb="FFC1E4F5"/>
      </patternFill>
    </fill>
    <fill>
      <patternFill patternType="solid">
        <fgColor rgb="FFFFC000"/>
        <bgColor rgb="FFFFC000"/>
      </patternFill>
    </fill>
    <fill>
      <patternFill patternType="solid">
        <fgColor rgb="FFA5A5A5"/>
        <bgColor rgb="FFA5A5A5"/>
      </patternFill>
    </fill>
    <fill>
      <patternFill patternType="solid">
        <fgColor rgb="FF227ACB"/>
        <bgColor rgb="FF227ACB"/>
      </patternFill>
    </fill>
    <fill>
      <patternFill patternType="solid">
        <fgColor rgb="FF00B0F0"/>
        <bgColor rgb="FF00B0F0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rgb="FF002060"/>
      </patternFill>
    </fill>
    <fill>
      <patternFill patternType="solid">
        <fgColor rgb="FFFFC000"/>
        <bgColor rgb="FF002060"/>
      </patternFill>
    </fill>
    <fill>
      <patternFill patternType="solid">
        <fgColor theme="9" tint="-0.249977111117893"/>
        <bgColor rgb="FF002060"/>
      </patternFill>
    </fill>
    <fill>
      <patternFill patternType="solid">
        <fgColor theme="9" tint="0.39997558519241921"/>
        <bgColor rgb="FF002060"/>
      </patternFill>
    </fill>
    <fill>
      <patternFill patternType="solid">
        <fgColor theme="5" tint="-0.499984740745262"/>
        <bgColor indexed="64"/>
      </patternFill>
    </fill>
    <fill>
      <patternFill patternType="solid">
        <fgColor rgb="FFFFFF00"/>
        <bgColor rgb="FF83CAEB"/>
      </patternFill>
    </fill>
    <fill>
      <patternFill patternType="solid">
        <fgColor rgb="FF92D050"/>
        <bgColor indexed="64"/>
      </patternFill>
    </fill>
    <fill>
      <patternFill patternType="solid">
        <fgColor theme="3" tint="0.59999389629810485"/>
        <bgColor indexed="64"/>
      </patternFill>
    </fill>
  </fills>
  <borders count="8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/>
      <bottom style="medium">
        <color rgb="FF0066CC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double">
        <color indexed="64"/>
      </left>
      <right/>
      <top/>
      <bottom/>
      <diagonal/>
    </border>
    <border>
      <left/>
      <right style="double">
        <color indexed="64"/>
      </right>
      <top/>
      <bottom/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medium">
        <color theme="0"/>
      </bottom>
      <diagonal/>
    </border>
    <border>
      <left/>
      <right style="double">
        <color theme="1"/>
      </right>
      <top/>
      <bottom/>
      <diagonal/>
    </border>
    <border>
      <left style="double">
        <color theme="1"/>
      </left>
      <right/>
      <top style="double">
        <color theme="1"/>
      </top>
      <bottom/>
      <diagonal/>
    </border>
    <border>
      <left/>
      <right/>
      <top style="double">
        <color theme="1"/>
      </top>
      <bottom/>
      <diagonal/>
    </border>
    <border>
      <left/>
      <right style="double">
        <color theme="1"/>
      </right>
      <top style="double">
        <color theme="1"/>
      </top>
      <bottom/>
      <diagonal/>
    </border>
    <border>
      <left style="double">
        <color theme="1"/>
      </left>
      <right/>
      <top/>
      <bottom style="medium">
        <color theme="0"/>
      </bottom>
      <diagonal/>
    </border>
    <border>
      <left/>
      <right style="double">
        <color theme="1"/>
      </right>
      <top/>
      <bottom style="medium">
        <color theme="0"/>
      </bottom>
      <diagonal/>
    </border>
    <border>
      <left style="double">
        <color theme="1"/>
      </left>
      <right/>
      <top/>
      <bottom/>
      <diagonal/>
    </border>
    <border>
      <left style="double">
        <color theme="1"/>
      </left>
      <right/>
      <top/>
      <bottom style="double">
        <color theme="1"/>
      </bottom>
      <diagonal/>
    </border>
    <border>
      <left/>
      <right/>
      <top/>
      <bottom style="double">
        <color theme="1"/>
      </bottom>
      <diagonal/>
    </border>
    <border>
      <left/>
      <right style="double">
        <color theme="1"/>
      </right>
      <top/>
      <bottom style="double">
        <color theme="1"/>
      </bottom>
      <diagonal/>
    </border>
    <border>
      <left/>
      <right style="double">
        <color theme="1"/>
      </right>
      <top/>
      <bottom style="double">
        <color indexed="64"/>
      </bottom>
      <diagonal/>
    </border>
    <border>
      <left style="double">
        <color theme="1"/>
      </left>
      <right/>
      <top/>
      <bottom style="double">
        <color indexed="64"/>
      </bottom>
      <diagonal/>
    </border>
    <border>
      <left/>
      <right/>
      <top style="medium">
        <color theme="0"/>
      </top>
      <bottom/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medium">
        <color theme="0"/>
      </bottom>
      <diagonal/>
    </border>
    <border>
      <left/>
      <right style="double">
        <color indexed="64"/>
      </right>
      <top/>
      <bottom style="medium">
        <color theme="0"/>
      </bottom>
      <diagonal/>
    </border>
    <border>
      <left style="double">
        <color indexed="64"/>
      </left>
      <right/>
      <top/>
      <bottom style="double">
        <color indexed="64"/>
      </bottom>
      <diagonal/>
    </border>
    <border>
      <left style="double">
        <color theme="1"/>
      </left>
      <right/>
      <top style="thin">
        <color indexed="64"/>
      </top>
      <bottom/>
      <diagonal/>
    </border>
    <border>
      <left/>
      <right style="double">
        <color theme="1"/>
      </right>
      <top style="thin">
        <color indexed="64"/>
      </top>
      <bottom/>
      <diagonal/>
    </border>
  </borders>
  <cellStyleXfs count="80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  <xf numFmtId="0" fontId="1" fillId="0" borderId="0"/>
    <xf numFmtId="0" fontId="9" fillId="0" borderId="0">
      <alignment vertical="center"/>
    </xf>
    <xf numFmtId="0" fontId="10" fillId="0" borderId="0">
      <alignment vertical="center"/>
    </xf>
    <xf numFmtId="0" fontId="9" fillId="0" borderId="0">
      <alignment vertical="center"/>
    </xf>
    <xf numFmtId="9" fontId="10" fillId="0" borderId="0">
      <alignment vertical="center"/>
    </xf>
    <xf numFmtId="0" fontId="10" fillId="0" borderId="0">
      <alignment vertical="center"/>
    </xf>
    <xf numFmtId="41" fontId="9" fillId="0" borderId="0">
      <alignment vertical="center"/>
    </xf>
    <xf numFmtId="9" fontId="9" fillId="0" borderId="0">
      <alignment vertical="center"/>
    </xf>
    <xf numFmtId="0" fontId="10" fillId="0" borderId="0">
      <alignment vertical="center"/>
    </xf>
    <xf numFmtId="0" fontId="9" fillId="0" borderId="0">
      <alignment vertical="center"/>
    </xf>
    <xf numFmtId="0" fontId="16" fillId="0" borderId="39"/>
    <xf numFmtId="0" fontId="9" fillId="0" borderId="0">
      <alignment vertical="center"/>
    </xf>
    <xf numFmtId="0" fontId="9" fillId="0" borderId="0">
      <alignment vertical="center"/>
    </xf>
    <xf numFmtId="0" fontId="17" fillId="0" borderId="0">
      <alignment vertical="center"/>
    </xf>
    <xf numFmtId="0" fontId="1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41" fontId="17" fillId="0" borderId="0" applyFont="0" applyFill="0" applyBorder="0" applyAlignment="0" applyProtection="0">
      <alignment vertical="center"/>
    </xf>
    <xf numFmtId="41" fontId="17" fillId="0" borderId="0" applyFont="0" applyFill="0" applyBorder="0" applyAlignment="0" applyProtection="0">
      <alignment vertical="center"/>
    </xf>
    <xf numFmtId="0" fontId="16" fillId="0" borderId="39"/>
    <xf numFmtId="0" fontId="18" fillId="0" borderId="39">
      <alignment vertical="center"/>
    </xf>
    <xf numFmtId="0" fontId="20" fillId="0" borderId="0"/>
    <xf numFmtId="0" fontId="18" fillId="0" borderId="39">
      <alignment vertical="center"/>
    </xf>
    <xf numFmtId="0" fontId="18" fillId="0" borderId="39">
      <alignment vertical="center"/>
    </xf>
    <xf numFmtId="0" fontId="18" fillId="0" borderId="39">
      <alignment vertical="center"/>
    </xf>
    <xf numFmtId="0" fontId="1" fillId="0" borderId="0">
      <alignment vertical="center"/>
    </xf>
    <xf numFmtId="0" fontId="17" fillId="0" borderId="0">
      <alignment vertical="center"/>
    </xf>
    <xf numFmtId="0" fontId="1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8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21" fillId="0" borderId="0"/>
    <xf numFmtId="0" fontId="1" fillId="0" borderId="0">
      <alignment vertical="center"/>
    </xf>
    <xf numFmtId="0" fontId="10" fillId="0" borderId="0">
      <alignment vertical="center"/>
    </xf>
    <xf numFmtId="0" fontId="9" fillId="0" borderId="0">
      <alignment vertical="center"/>
    </xf>
    <xf numFmtId="0" fontId="10" fillId="0" borderId="0">
      <alignment vertical="center"/>
    </xf>
    <xf numFmtId="0" fontId="20" fillId="0" borderId="0"/>
    <xf numFmtId="9" fontId="10" fillId="0" borderId="0">
      <alignment vertical="center"/>
    </xf>
    <xf numFmtId="41" fontId="9" fillId="0" borderId="0">
      <alignment vertical="center"/>
    </xf>
    <xf numFmtId="9" fontId="9" fillId="0" borderId="0">
      <alignment vertical="center"/>
    </xf>
    <xf numFmtId="0" fontId="10" fillId="0" borderId="0">
      <alignment vertical="center"/>
    </xf>
    <xf numFmtId="0" fontId="9" fillId="0" borderId="0">
      <alignment vertical="center"/>
    </xf>
    <xf numFmtId="0" fontId="9" fillId="0" borderId="0">
      <alignment vertical="center"/>
    </xf>
    <xf numFmtId="0" fontId="9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22" fillId="0" borderId="0" applyNumberFormat="0" applyFill="0" applyBorder="0" applyAlignment="0" applyProtection="0">
      <alignment vertical="center"/>
    </xf>
    <xf numFmtId="0" fontId="17" fillId="0" borderId="0">
      <alignment vertical="center"/>
    </xf>
    <xf numFmtId="0" fontId="8" fillId="0" borderId="0">
      <alignment vertical="center"/>
    </xf>
    <xf numFmtId="9" fontId="17" fillId="0" borderId="0" applyFont="0" applyFill="0" applyBorder="0" applyAlignment="0" applyProtection="0">
      <alignment vertical="center"/>
    </xf>
    <xf numFmtId="0" fontId="1" fillId="0" borderId="0">
      <alignment vertical="center"/>
    </xf>
    <xf numFmtId="0" fontId="1" fillId="0" borderId="0"/>
    <xf numFmtId="0" fontId="1" fillId="0" borderId="0"/>
    <xf numFmtId="41" fontId="1" fillId="0" borderId="0" applyFont="0" applyFill="0" applyBorder="0" applyAlignment="0" applyProtection="0">
      <alignment vertical="center"/>
    </xf>
    <xf numFmtId="41" fontId="9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41" fontId="17" fillId="0" borderId="0" applyFont="0" applyFill="0" applyBorder="0" applyAlignment="0" applyProtection="0">
      <alignment vertical="center"/>
    </xf>
    <xf numFmtId="41" fontId="17" fillId="0" borderId="0" applyFont="0" applyFill="0" applyBorder="0" applyAlignment="0" applyProtection="0">
      <alignment vertical="center"/>
    </xf>
    <xf numFmtId="41" fontId="1" fillId="0" borderId="0" applyFont="0" applyFill="0" applyBorder="0" applyAlignment="0" applyProtection="0">
      <alignment vertical="center"/>
    </xf>
    <xf numFmtId="41" fontId="9" fillId="0" borderId="0">
      <alignment vertical="center"/>
    </xf>
  </cellStyleXfs>
  <cellXfs count="1021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41" fontId="0" fillId="0" borderId="0" xfId="1" applyFont="1">
      <alignment vertical="center"/>
    </xf>
    <xf numFmtId="9" fontId="0" fillId="0" borderId="0" xfId="2" applyFont="1">
      <alignment vertical="center"/>
    </xf>
    <xf numFmtId="0" fontId="0" fillId="2" borderId="0" xfId="0" applyFill="1" applyAlignment="1">
      <alignment horizontal="center" vertical="center"/>
    </xf>
    <xf numFmtId="166" fontId="0" fillId="0" borderId="0" xfId="0" applyNumberFormat="1">
      <alignment vertical="center"/>
    </xf>
    <xf numFmtId="0" fontId="3" fillId="4" borderId="0" xfId="0" applyFont="1" applyFill="1" applyAlignment="1">
      <alignment horizontal="center" vertical="center"/>
    </xf>
    <xf numFmtId="164" fontId="3" fillId="4" borderId="0" xfId="0" applyNumberFormat="1" applyFont="1" applyFill="1" applyAlignment="1">
      <alignment horizontal="center" vertical="center"/>
    </xf>
    <xf numFmtId="166" fontId="3" fillId="4" borderId="0" xfId="0" applyNumberFormat="1" applyFont="1" applyFill="1" applyAlignment="1">
      <alignment horizontal="center" vertical="center"/>
    </xf>
    <xf numFmtId="9" fontId="3" fillId="4" borderId="0" xfId="2" applyFont="1" applyFill="1" applyBorder="1" applyAlignment="1">
      <alignment horizontal="center" vertical="center"/>
    </xf>
    <xf numFmtId="9" fontId="3" fillId="4" borderId="4" xfId="2" applyFont="1" applyFill="1" applyBorder="1">
      <alignment vertical="center"/>
    </xf>
    <xf numFmtId="166" fontId="3" fillId="4" borderId="6" xfId="0" applyNumberFormat="1" applyFont="1" applyFill="1" applyBorder="1">
      <alignment vertical="center"/>
    </xf>
    <xf numFmtId="166" fontId="3" fillId="4" borderId="7" xfId="0" applyNumberFormat="1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4" xfId="0" applyFont="1" applyFill="1" applyBorder="1">
      <alignment vertical="center"/>
    </xf>
    <xf numFmtId="0" fontId="7" fillId="0" borderId="0" xfId="0" applyFont="1" applyAlignment="1">
      <alignment horizontal="center" vertical="center"/>
    </xf>
    <xf numFmtId="0" fontId="7" fillId="0" borderId="0" xfId="0" applyFont="1">
      <alignment vertical="center"/>
    </xf>
    <xf numFmtId="41" fontId="3" fillId="4" borderId="0" xfId="1" applyFont="1" applyFill="1" applyBorder="1" applyAlignment="1">
      <alignment horizontal="center" vertical="center"/>
    </xf>
    <xf numFmtId="0" fontId="7" fillId="8" borderId="2" xfId="0" applyFont="1" applyFill="1" applyBorder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7" fillId="9" borderId="2" xfId="0" applyFont="1" applyFill="1" applyBorder="1" applyAlignment="1">
      <alignment horizontal="center" vertical="center"/>
    </xf>
    <xf numFmtId="0" fontId="7" fillId="9" borderId="0" xfId="0" applyFont="1" applyFill="1" applyAlignment="1">
      <alignment horizontal="center" vertical="center"/>
    </xf>
    <xf numFmtId="0" fontId="7" fillId="10" borderId="2" xfId="0" applyFont="1" applyFill="1" applyBorder="1" applyAlignment="1">
      <alignment horizontal="center" vertical="center"/>
    </xf>
    <xf numFmtId="0" fontId="7" fillId="10" borderId="0" xfId="0" applyFont="1" applyFill="1" applyAlignment="1">
      <alignment horizontal="center" vertical="center"/>
    </xf>
    <xf numFmtId="0" fontId="7" fillId="12" borderId="0" xfId="0" applyFont="1" applyFill="1" applyAlignment="1">
      <alignment horizontal="center" vertical="center"/>
    </xf>
    <xf numFmtId="166" fontId="7" fillId="12" borderId="0" xfId="0" applyNumberFormat="1" applyFont="1" applyFill="1" applyAlignment="1">
      <alignment horizontal="right" vertical="center"/>
    </xf>
    <xf numFmtId="0" fontId="7" fillId="13" borderId="0" xfId="0" applyFont="1" applyFill="1" applyAlignment="1">
      <alignment horizontal="center" vertical="center"/>
    </xf>
    <xf numFmtId="41" fontId="0" fillId="0" borderId="0" xfId="0" applyNumberFormat="1">
      <alignment vertical="center"/>
    </xf>
    <xf numFmtId="0" fontId="7" fillId="0" borderId="9" xfId="0" applyFont="1" applyBorder="1" applyAlignment="1">
      <alignment horizontal="center" vertical="center"/>
    </xf>
    <xf numFmtId="0" fontId="7" fillId="6" borderId="0" xfId="0" applyFont="1" applyFill="1" applyAlignment="1">
      <alignment horizontal="center" vertical="center"/>
    </xf>
    <xf numFmtId="41" fontId="7" fillId="6" borderId="0" xfId="1" applyFont="1" applyFill="1">
      <alignment vertical="center"/>
    </xf>
    <xf numFmtId="0" fontId="7" fillId="9" borderId="10" xfId="0" applyFont="1" applyFill="1" applyBorder="1" applyAlignment="1">
      <alignment horizontal="center" vertical="center"/>
    </xf>
    <xf numFmtId="0" fontId="7" fillId="0" borderId="11" xfId="0" applyFont="1" applyBorder="1" applyAlignment="1">
      <alignment horizontal="center" vertical="center"/>
    </xf>
    <xf numFmtId="0" fontId="7" fillId="0" borderId="11" xfId="0" applyFont="1" applyBorder="1">
      <alignment vertical="center"/>
    </xf>
    <xf numFmtId="0" fontId="7" fillId="9" borderId="8" xfId="0" applyFont="1" applyFill="1" applyBorder="1" applyAlignment="1">
      <alignment horizontal="center" vertical="center"/>
    </xf>
    <xf numFmtId="0" fontId="0" fillId="0" borderId="9" xfId="0" applyBorder="1">
      <alignment vertical="center"/>
    </xf>
    <xf numFmtId="0" fontId="7" fillId="9" borderId="9" xfId="0" applyFont="1" applyFill="1" applyBorder="1" applyAlignment="1">
      <alignment horizontal="center" vertical="center"/>
    </xf>
    <xf numFmtId="9" fontId="7" fillId="10" borderId="9" xfId="2" applyFont="1" applyFill="1" applyBorder="1">
      <alignment vertical="center"/>
    </xf>
    <xf numFmtId="0" fontId="7" fillId="10" borderId="9" xfId="0" applyFont="1" applyFill="1" applyBorder="1" applyAlignment="1">
      <alignment horizontal="center" vertical="center"/>
    </xf>
    <xf numFmtId="9" fontId="7" fillId="10" borderId="9" xfId="2" applyFont="1" applyFill="1" applyBorder="1" applyAlignment="1">
      <alignment horizontal="right" vertical="center"/>
    </xf>
    <xf numFmtId="0" fontId="7" fillId="16" borderId="2" xfId="0" applyFont="1" applyFill="1" applyBorder="1" applyAlignment="1">
      <alignment horizontal="center" vertical="center"/>
    </xf>
    <xf numFmtId="0" fontId="7" fillId="16" borderId="0" xfId="0" applyFont="1" applyFill="1" applyAlignment="1">
      <alignment horizontal="center" vertical="center"/>
    </xf>
    <xf numFmtId="0" fontId="7" fillId="16" borderId="8" xfId="0" applyFont="1" applyFill="1" applyBorder="1" applyAlignment="1">
      <alignment horizontal="center" vertical="center"/>
    </xf>
    <xf numFmtId="0" fontId="7" fillId="8" borderId="8" xfId="0" applyFont="1" applyFill="1" applyBorder="1" applyAlignment="1">
      <alignment horizontal="center" vertical="center"/>
    </xf>
    <xf numFmtId="0" fontId="7" fillId="8" borderId="9" xfId="0" applyFont="1" applyFill="1" applyBorder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0" fillId="0" borderId="7" xfId="0" applyBorder="1">
      <alignment vertical="center"/>
    </xf>
    <xf numFmtId="0" fontId="0" fillId="12" borderId="0" xfId="0" applyFill="1" applyAlignment="1">
      <alignment horizontal="center" vertical="center"/>
    </xf>
    <xf numFmtId="0" fontId="0" fillId="12" borderId="8" xfId="0" applyFill="1" applyBorder="1" applyAlignment="1">
      <alignment horizontal="center" vertical="center"/>
    </xf>
    <xf numFmtId="0" fontId="7" fillId="12" borderId="9" xfId="0" applyFont="1" applyFill="1" applyBorder="1" applyAlignment="1">
      <alignment horizontal="center" vertical="center"/>
    </xf>
    <xf numFmtId="0" fontId="7" fillId="2" borderId="0" xfId="0" applyFont="1" applyFill="1" applyAlignment="1">
      <alignment horizontal="center" vertical="center"/>
    </xf>
    <xf numFmtId="0" fontId="6" fillId="13" borderId="2" xfId="0" applyFont="1" applyFill="1" applyBorder="1" applyAlignment="1">
      <alignment horizontal="center" vertical="center"/>
    </xf>
    <xf numFmtId="41" fontId="7" fillId="13" borderId="0" xfId="1" applyFont="1" applyFill="1" applyBorder="1">
      <alignment vertical="center"/>
    </xf>
    <xf numFmtId="9" fontId="7" fillId="13" borderId="0" xfId="2" applyFont="1" applyFill="1" applyBorder="1">
      <alignment vertical="center"/>
    </xf>
    <xf numFmtId="9" fontId="7" fillId="13" borderId="0" xfId="2" applyFont="1" applyFill="1" applyBorder="1" applyAlignment="1">
      <alignment horizontal="center" vertical="center"/>
    </xf>
    <xf numFmtId="0" fontId="6" fillId="13" borderId="8" xfId="0" applyFont="1" applyFill="1" applyBorder="1" applyAlignment="1">
      <alignment horizontal="center" vertical="center"/>
    </xf>
    <xf numFmtId="0" fontId="7" fillId="13" borderId="9" xfId="0" applyFont="1" applyFill="1" applyBorder="1" applyAlignment="1">
      <alignment horizontal="center" vertical="center"/>
    </xf>
    <xf numFmtId="41" fontId="7" fillId="13" borderId="9" xfId="1" applyFont="1" applyFill="1" applyBorder="1">
      <alignment vertical="center"/>
    </xf>
    <xf numFmtId="9" fontId="7" fillId="13" borderId="9" xfId="2" applyFont="1" applyFill="1" applyBorder="1">
      <alignment vertical="center"/>
    </xf>
    <xf numFmtId="9" fontId="7" fillId="13" borderId="9" xfId="2" applyFont="1" applyFill="1" applyBorder="1" applyAlignment="1">
      <alignment horizontal="center" vertical="center"/>
    </xf>
    <xf numFmtId="0" fontId="0" fillId="14" borderId="0" xfId="0" applyFill="1" applyAlignment="1">
      <alignment horizontal="center" vertical="center"/>
    </xf>
    <xf numFmtId="0" fontId="0" fillId="14" borderId="8" xfId="0" applyFill="1" applyBorder="1" applyAlignment="1">
      <alignment horizontal="center" vertical="center"/>
    </xf>
    <xf numFmtId="167" fontId="0" fillId="5" borderId="0" xfId="0" applyNumberFormat="1" applyFill="1">
      <alignment vertical="center"/>
    </xf>
    <xf numFmtId="0" fontId="7" fillId="14" borderId="0" xfId="0" applyFont="1" applyFill="1" applyAlignment="1">
      <alignment horizontal="center" vertical="center"/>
    </xf>
    <xf numFmtId="0" fontId="7" fillId="14" borderId="9" xfId="0" applyFont="1" applyFill="1" applyBorder="1" applyAlignment="1">
      <alignment horizontal="center" vertical="center"/>
    </xf>
    <xf numFmtId="0" fontId="7" fillId="18" borderId="0" xfId="0" applyFont="1" applyFill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13" fillId="0" borderId="0" xfId="12" applyFont="1">
      <alignment vertical="center"/>
    </xf>
    <xf numFmtId="2" fontId="0" fillId="0" borderId="0" xfId="0" applyNumberFormat="1">
      <alignment vertical="center"/>
    </xf>
    <xf numFmtId="0" fontId="1" fillId="0" borderId="0" xfId="72"/>
    <xf numFmtId="0" fontId="13" fillId="19" borderId="34" xfId="11" applyFont="1" applyFill="1" applyBorder="1">
      <alignment vertical="center"/>
    </xf>
    <xf numFmtId="0" fontId="13" fillId="19" borderId="35" xfId="11" applyFont="1" applyFill="1" applyBorder="1">
      <alignment vertical="center"/>
    </xf>
    <xf numFmtId="0" fontId="13" fillId="19" borderId="35" xfId="11" applyFont="1" applyFill="1" applyBorder="1" applyAlignment="1">
      <alignment horizontal="center" vertical="center"/>
    </xf>
    <xf numFmtId="0" fontId="14" fillId="19" borderId="15" xfId="5" applyFont="1" applyFill="1" applyBorder="1" applyAlignment="1">
      <alignment horizontal="center" vertical="center"/>
    </xf>
    <xf numFmtId="0" fontId="14" fillId="19" borderId="0" xfId="5" applyFont="1" applyFill="1" applyAlignment="1">
      <alignment horizontal="center" vertical="center"/>
    </xf>
    <xf numFmtId="0" fontId="14" fillId="19" borderId="6" xfId="5" applyFont="1" applyFill="1" applyBorder="1" applyAlignment="1">
      <alignment horizontal="center" vertical="center"/>
    </xf>
    <xf numFmtId="0" fontId="13" fillId="0" borderId="2" xfId="12" applyFont="1" applyBorder="1">
      <alignment vertical="center"/>
    </xf>
    <xf numFmtId="0" fontId="14" fillId="19" borderId="16" xfId="5" applyFont="1" applyFill="1" applyBorder="1" applyAlignment="1">
      <alignment horizontal="center" vertical="center"/>
    </xf>
    <xf numFmtId="0" fontId="0" fillId="19" borderId="15" xfId="5" applyFont="1" applyFill="1" applyBorder="1">
      <alignment vertical="center"/>
    </xf>
    <xf numFmtId="0" fontId="0" fillId="19" borderId="0" xfId="5" applyFont="1" applyFill="1">
      <alignment vertical="center"/>
    </xf>
    <xf numFmtId="0" fontId="0" fillId="19" borderId="7" xfId="5" applyFont="1" applyFill="1" applyBorder="1">
      <alignment vertical="center"/>
    </xf>
    <xf numFmtId="0" fontId="13" fillId="0" borderId="0" xfId="6" applyFont="1">
      <alignment vertical="center"/>
    </xf>
    <xf numFmtId="0" fontId="13" fillId="19" borderId="0" xfId="12" applyFont="1" applyFill="1">
      <alignment vertical="center"/>
    </xf>
    <xf numFmtId="0" fontId="0" fillId="19" borderId="16" xfId="5" applyFont="1" applyFill="1" applyBorder="1">
      <alignment vertical="center"/>
    </xf>
    <xf numFmtId="168" fontId="0" fillId="19" borderId="0" xfId="5" applyNumberFormat="1" applyFont="1" applyFill="1">
      <alignment vertical="center"/>
    </xf>
    <xf numFmtId="0" fontId="14" fillId="19" borderId="7" xfId="5" applyFont="1" applyFill="1" applyBorder="1" applyAlignment="1">
      <alignment horizontal="center" vertical="center"/>
    </xf>
    <xf numFmtId="168" fontId="13" fillId="19" borderId="0" xfId="5" applyNumberFormat="1" applyFont="1" applyFill="1">
      <alignment vertical="center"/>
    </xf>
    <xf numFmtId="0" fontId="12" fillId="19" borderId="16" xfId="5" applyFont="1" applyFill="1" applyBorder="1">
      <alignment vertical="center"/>
    </xf>
    <xf numFmtId="0" fontId="13" fillId="19" borderId="0" xfId="5" applyFont="1" applyFill="1">
      <alignment vertical="center"/>
    </xf>
    <xf numFmtId="0" fontId="13" fillId="19" borderId="0" xfId="4" applyFont="1" applyFill="1">
      <alignment vertical="center"/>
    </xf>
    <xf numFmtId="0" fontId="0" fillId="19" borderId="17" xfId="5" applyFont="1" applyFill="1" applyBorder="1">
      <alignment vertical="center"/>
    </xf>
    <xf numFmtId="0" fontId="0" fillId="19" borderId="18" xfId="5" applyFont="1" applyFill="1" applyBorder="1">
      <alignment vertical="center"/>
    </xf>
    <xf numFmtId="0" fontId="0" fillId="19" borderId="38" xfId="5" applyFont="1" applyFill="1" applyBorder="1">
      <alignment vertical="center"/>
    </xf>
    <xf numFmtId="0" fontId="13" fillId="19" borderId="2" xfId="5" applyFont="1" applyFill="1" applyBorder="1">
      <alignment vertical="center"/>
    </xf>
    <xf numFmtId="0" fontId="15" fillId="19" borderId="18" xfId="5" applyFont="1" applyFill="1" applyBorder="1">
      <alignment vertical="center"/>
    </xf>
    <xf numFmtId="0" fontId="0" fillId="19" borderId="19" xfId="5" applyFont="1" applyFill="1" applyBorder="1">
      <alignment vertical="center"/>
    </xf>
    <xf numFmtId="0" fontId="13" fillId="19" borderId="2" xfId="4" applyFont="1" applyFill="1" applyBorder="1">
      <alignment vertical="center"/>
    </xf>
    <xf numFmtId="0" fontId="13" fillId="19" borderId="18" xfId="11" applyFont="1" applyFill="1" applyBorder="1">
      <alignment vertical="center"/>
    </xf>
    <xf numFmtId="0" fontId="13" fillId="19" borderId="18" xfId="11" applyFont="1" applyFill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169" fontId="0" fillId="0" borderId="0" xfId="1" applyNumberFormat="1" applyFont="1">
      <alignment vertical="center"/>
    </xf>
    <xf numFmtId="165" fontId="3" fillId="4" borderId="0" xfId="2" applyNumberFormat="1" applyFont="1" applyFill="1" applyBorder="1" applyAlignment="1">
      <alignment horizontal="center" vertical="center"/>
    </xf>
    <xf numFmtId="169" fontId="3" fillId="4" borderId="4" xfId="1" applyNumberFormat="1" applyFont="1" applyFill="1" applyBorder="1" applyAlignment="1">
      <alignment vertical="center"/>
    </xf>
    <xf numFmtId="169" fontId="3" fillId="4" borderId="0" xfId="1" applyNumberFormat="1" applyFont="1" applyFill="1" applyBorder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/>
    </xf>
    <xf numFmtId="169" fontId="7" fillId="0" borderId="0" xfId="1" applyNumberFormat="1" applyFont="1">
      <alignment vertical="center"/>
    </xf>
    <xf numFmtId="165" fontId="7" fillId="0" borderId="0" xfId="0" applyNumberFormat="1" applyFont="1" applyAlignment="1">
      <alignment horizontal="center" vertical="center"/>
    </xf>
    <xf numFmtId="43" fontId="7" fillId="0" borderId="0" xfId="0" applyNumberFormat="1" applyFont="1" applyAlignment="1">
      <alignment horizontal="center" vertical="center"/>
    </xf>
    <xf numFmtId="0" fontId="0" fillId="15" borderId="0" xfId="0" applyFill="1" applyAlignment="1">
      <alignment horizontal="center" vertical="center"/>
    </xf>
    <xf numFmtId="0" fontId="6" fillId="15" borderId="0" xfId="0" applyFont="1" applyFill="1" applyAlignment="1">
      <alignment horizontal="center" vertical="center"/>
    </xf>
    <xf numFmtId="169" fontId="7" fillId="0" borderId="0" xfId="1" applyNumberFormat="1" applyFont="1" applyFill="1">
      <alignment vertical="center"/>
    </xf>
    <xf numFmtId="0" fontId="25" fillId="17" borderId="0" xfId="0" applyFont="1" applyFill="1" applyAlignment="1">
      <alignment horizontal="center" vertical="center"/>
    </xf>
    <xf numFmtId="0" fontId="6" fillId="17" borderId="0" xfId="0" applyFont="1" applyFill="1" applyAlignment="1">
      <alignment horizontal="center" vertical="center"/>
    </xf>
    <xf numFmtId="0" fontId="7" fillId="17" borderId="0" xfId="0" applyFont="1" applyFill="1">
      <alignment vertical="center"/>
    </xf>
    <xf numFmtId="169" fontId="7" fillId="17" borderId="0" xfId="1" applyNumberFormat="1" applyFont="1" applyFill="1">
      <alignment vertical="center"/>
    </xf>
    <xf numFmtId="43" fontId="7" fillId="17" borderId="0" xfId="0" applyNumberFormat="1" applyFont="1" applyFill="1">
      <alignment vertical="center"/>
    </xf>
    <xf numFmtId="165" fontId="3" fillId="4" borderId="4" xfId="0" applyNumberFormat="1" applyFont="1" applyFill="1" applyBorder="1" applyAlignment="1">
      <alignment horizontal="center" vertical="center"/>
    </xf>
    <xf numFmtId="165" fontId="7" fillId="17" borderId="0" xfId="0" applyNumberFormat="1" applyFont="1" applyFill="1" applyAlignment="1">
      <alignment horizontal="center" vertical="center"/>
    </xf>
    <xf numFmtId="0" fontId="7" fillId="17" borderId="0" xfId="0" applyFont="1" applyFill="1" applyAlignment="1">
      <alignment horizontal="center" vertical="center"/>
    </xf>
    <xf numFmtId="0" fontId="26" fillId="3" borderId="1" xfId="5" applyFont="1" applyFill="1" applyBorder="1" applyAlignment="1">
      <alignment horizontal="center" vertical="center"/>
    </xf>
    <xf numFmtId="0" fontId="27" fillId="3" borderId="23" xfId="5" applyFont="1" applyFill="1" applyBorder="1" applyAlignment="1">
      <alignment horizontal="center" vertical="center"/>
    </xf>
    <xf numFmtId="0" fontId="27" fillId="3" borderId="24" xfId="5" applyFont="1" applyFill="1" applyBorder="1" applyAlignment="1">
      <alignment horizontal="left" vertical="center"/>
    </xf>
    <xf numFmtId="168" fontId="27" fillId="3" borderId="24" xfId="5" applyNumberFormat="1" applyFont="1" applyFill="1" applyBorder="1" applyAlignment="1">
      <alignment horizontal="left" vertical="center"/>
    </xf>
    <xf numFmtId="0" fontId="27" fillId="3" borderId="25" xfId="5" applyFont="1" applyFill="1" applyBorder="1" applyAlignment="1">
      <alignment horizontal="left" vertical="center"/>
    </xf>
    <xf numFmtId="0" fontId="19" fillId="19" borderId="36" xfId="11" applyFont="1" applyFill="1" applyBorder="1" applyAlignment="1">
      <alignment horizontal="right" vertical="center"/>
    </xf>
    <xf numFmtId="0" fontId="19" fillId="19" borderId="19" xfId="11" applyFont="1" applyFill="1" applyBorder="1" applyAlignment="1">
      <alignment horizontal="right" vertical="center"/>
    </xf>
    <xf numFmtId="0" fontId="0" fillId="0" borderId="15" xfId="0" applyBorder="1">
      <alignment vertical="center"/>
    </xf>
    <xf numFmtId="0" fontId="0" fillId="7" borderId="1" xfId="5" applyFont="1" applyFill="1" applyBorder="1" applyAlignment="1">
      <alignment horizontal="center" vertical="center"/>
    </xf>
    <xf numFmtId="0" fontId="0" fillId="7" borderId="1" xfId="5" applyFont="1" applyFill="1" applyBorder="1" applyAlignment="1">
      <alignment horizontal="center" vertical="center" wrapText="1" shrinkToFit="1"/>
    </xf>
    <xf numFmtId="0" fontId="0" fillId="7" borderId="1" xfId="8" applyFont="1" applyFill="1" applyBorder="1" applyAlignment="1">
      <alignment horizontal="center" vertical="center" shrinkToFit="1"/>
    </xf>
    <xf numFmtId="169" fontId="9" fillId="7" borderId="30" xfId="9" applyNumberFormat="1" applyFill="1" applyBorder="1" applyAlignment="1">
      <alignment horizontal="left" vertical="center" wrapText="1" shrinkToFit="1"/>
    </xf>
    <xf numFmtId="0" fontId="0" fillId="7" borderId="1" xfId="7" applyNumberFormat="1" applyFont="1" applyFill="1" applyBorder="1" applyAlignment="1">
      <alignment horizontal="center" vertical="center"/>
    </xf>
    <xf numFmtId="165" fontId="0" fillId="7" borderId="1" xfId="8" applyNumberFormat="1" applyFont="1" applyFill="1" applyBorder="1" applyAlignment="1">
      <alignment horizontal="center" vertical="center" shrinkToFit="1"/>
    </xf>
    <xf numFmtId="170" fontId="9" fillId="7" borderId="30" xfId="4" applyNumberFormat="1" applyFill="1" applyBorder="1" applyAlignment="1">
      <alignment horizontal="center" vertical="center"/>
    </xf>
    <xf numFmtId="0" fontId="0" fillId="7" borderId="1" xfId="5" applyFont="1" applyFill="1" applyBorder="1" applyAlignment="1">
      <alignment horizontal="center" vertical="center" shrinkToFit="1"/>
    </xf>
    <xf numFmtId="0" fontId="9" fillId="7" borderId="30" xfId="4" applyFill="1" applyBorder="1" applyAlignment="1">
      <alignment horizontal="center" vertical="center" shrinkToFit="1"/>
    </xf>
    <xf numFmtId="169" fontId="9" fillId="7" borderId="30" xfId="9" applyNumberFormat="1" applyFill="1" applyBorder="1" applyAlignment="1">
      <alignment horizontal="center" vertical="center"/>
    </xf>
    <xf numFmtId="0" fontId="0" fillId="17" borderId="1" xfId="5" applyFont="1" applyFill="1" applyBorder="1" applyAlignment="1">
      <alignment horizontal="center" vertical="center"/>
    </xf>
    <xf numFmtId="0" fontId="0" fillId="17" borderId="1" xfId="5" applyFont="1" applyFill="1" applyBorder="1" applyAlignment="1">
      <alignment horizontal="center" vertical="center" wrapText="1" shrinkToFit="1"/>
    </xf>
    <xf numFmtId="0" fontId="0" fillId="17" borderId="1" xfId="8" applyFont="1" applyFill="1" applyBorder="1" applyAlignment="1">
      <alignment horizontal="center" vertical="center" shrinkToFit="1"/>
    </xf>
    <xf numFmtId="165" fontId="0" fillId="17" borderId="1" xfId="8" applyNumberFormat="1" applyFont="1" applyFill="1" applyBorder="1" applyAlignment="1">
      <alignment horizontal="center" vertical="center" shrinkToFit="1"/>
    </xf>
    <xf numFmtId="169" fontId="9" fillId="17" borderId="30" xfId="9" applyNumberFormat="1" applyFill="1" applyBorder="1" applyAlignment="1">
      <alignment horizontal="center" vertical="center"/>
    </xf>
    <xf numFmtId="0" fontId="0" fillId="12" borderId="1" xfId="5" applyFont="1" applyFill="1" applyBorder="1" applyAlignment="1">
      <alignment horizontal="center" vertical="center"/>
    </xf>
    <xf numFmtId="0" fontId="0" fillId="12" borderId="1" xfId="5" applyFont="1" applyFill="1" applyBorder="1" applyAlignment="1">
      <alignment horizontal="center" vertical="center" wrapText="1" shrinkToFit="1"/>
    </xf>
    <xf numFmtId="0" fontId="0" fillId="12" borderId="1" xfId="7" applyNumberFormat="1" applyFont="1" applyFill="1" applyBorder="1" applyAlignment="1">
      <alignment horizontal="center" vertical="center"/>
    </xf>
    <xf numFmtId="0" fontId="0" fillId="12" borderId="1" xfId="8" applyFont="1" applyFill="1" applyBorder="1" applyAlignment="1">
      <alignment horizontal="center" vertical="center" shrinkToFit="1"/>
    </xf>
    <xf numFmtId="169" fontId="9" fillId="12" borderId="30" xfId="9" applyNumberFormat="1" applyFill="1" applyBorder="1" applyAlignment="1">
      <alignment horizontal="center" vertical="center"/>
    </xf>
    <xf numFmtId="0" fontId="0" fillId="12" borderId="1" xfId="5" applyFont="1" applyFill="1" applyBorder="1" applyAlignment="1">
      <alignment horizontal="center" vertical="center" shrinkToFit="1"/>
    </xf>
    <xf numFmtId="0" fontId="12" fillId="12" borderId="44" xfId="5" applyFont="1" applyFill="1" applyBorder="1" applyAlignment="1">
      <alignment horizontal="center" vertical="center"/>
    </xf>
    <xf numFmtId="168" fontId="9" fillId="12" borderId="44" xfId="10" applyNumberFormat="1" applyFill="1" applyBorder="1" applyAlignment="1">
      <alignment horizontal="center" vertical="center"/>
    </xf>
    <xf numFmtId="0" fontId="0" fillId="12" borderId="44" xfId="5" applyFont="1" applyFill="1" applyBorder="1" applyAlignment="1">
      <alignment horizontal="center" vertical="center"/>
    </xf>
    <xf numFmtId="41" fontId="12" fillId="12" borderId="41" xfId="9" applyFont="1" applyFill="1" applyBorder="1" applyAlignment="1">
      <alignment horizontal="center" vertical="center"/>
    </xf>
    <xf numFmtId="0" fontId="0" fillId="12" borderId="43" xfId="5" applyFont="1" applyFill="1" applyBorder="1" applyAlignment="1">
      <alignment vertical="center" shrinkToFit="1"/>
    </xf>
    <xf numFmtId="0" fontId="0" fillId="12" borderId="44" xfId="5" applyFont="1" applyFill="1" applyBorder="1" applyAlignment="1">
      <alignment vertical="center" shrinkToFit="1"/>
    </xf>
    <xf numFmtId="0" fontId="0" fillId="19" borderId="17" xfId="5" applyFont="1" applyFill="1" applyBorder="1" applyAlignment="1">
      <alignment horizontal="center" vertical="center" wrapText="1"/>
    </xf>
    <xf numFmtId="0" fontId="4" fillId="12" borderId="18" xfId="5" applyFont="1" applyFill="1" applyBorder="1" applyAlignment="1">
      <alignment horizontal="center" vertical="center" wrapText="1"/>
    </xf>
    <xf numFmtId="0" fontId="12" fillId="12" borderId="18" xfId="5" applyFont="1" applyFill="1" applyBorder="1" applyAlignment="1">
      <alignment horizontal="center" vertical="center"/>
    </xf>
    <xf numFmtId="0" fontId="0" fillId="12" borderId="18" xfId="5" applyFont="1" applyFill="1" applyBorder="1" applyAlignment="1">
      <alignment vertical="center" shrinkToFit="1"/>
    </xf>
    <xf numFmtId="2" fontId="0" fillId="12" borderId="18" xfId="5" applyNumberFormat="1" applyFont="1" applyFill="1" applyBorder="1" applyAlignment="1">
      <alignment horizontal="center" vertical="center"/>
    </xf>
    <xf numFmtId="43" fontId="7" fillId="17" borderId="0" xfId="0" applyNumberFormat="1" applyFont="1" applyFill="1" applyAlignment="1">
      <alignment horizontal="center" vertical="center"/>
    </xf>
    <xf numFmtId="0" fontId="27" fillId="3" borderId="50" xfId="5" applyFont="1" applyFill="1" applyBorder="1" applyAlignment="1">
      <alignment horizontal="center" vertical="center"/>
    </xf>
    <xf numFmtId="0" fontId="27" fillId="3" borderId="21" xfId="5" applyFont="1" applyFill="1" applyBorder="1" applyAlignment="1">
      <alignment horizontal="left" vertical="center"/>
    </xf>
    <xf numFmtId="168" fontId="27" fillId="3" borderId="21" xfId="5" applyNumberFormat="1" applyFont="1" applyFill="1" applyBorder="1" applyAlignment="1">
      <alignment horizontal="left" vertical="center"/>
    </xf>
    <xf numFmtId="0" fontId="27" fillId="3" borderId="22" xfId="5" applyFont="1" applyFill="1" applyBorder="1" applyAlignment="1">
      <alignment horizontal="left" vertical="center"/>
    </xf>
    <xf numFmtId="169" fontId="9" fillId="7" borderId="47" xfId="9" applyNumberFormat="1" applyFill="1" applyBorder="1" applyAlignment="1">
      <alignment horizontal="left" vertical="center" wrapText="1" shrinkToFit="1"/>
    </xf>
    <xf numFmtId="170" fontId="9" fillId="7" borderId="47" xfId="4" applyNumberFormat="1" applyFill="1" applyBorder="1" applyAlignment="1">
      <alignment horizontal="center" vertical="center"/>
    </xf>
    <xf numFmtId="0" fontId="9" fillId="7" borderId="47" xfId="4" applyFill="1" applyBorder="1" applyAlignment="1">
      <alignment horizontal="center" vertical="center" shrinkToFit="1"/>
    </xf>
    <xf numFmtId="169" fontId="9" fillId="7" borderId="47" xfId="9" applyNumberFormat="1" applyFill="1" applyBorder="1" applyAlignment="1">
      <alignment horizontal="center" vertical="center"/>
    </xf>
    <xf numFmtId="169" fontId="9" fillId="17" borderId="47" xfId="9" applyNumberFormat="1" applyFill="1" applyBorder="1" applyAlignment="1">
      <alignment horizontal="center" vertical="center"/>
    </xf>
    <xf numFmtId="169" fontId="9" fillId="12" borderId="47" xfId="9" applyNumberFormat="1" applyFill="1" applyBorder="1" applyAlignment="1">
      <alignment horizontal="center" vertical="center"/>
    </xf>
    <xf numFmtId="41" fontId="12" fillId="12" borderId="52" xfId="9" applyFont="1" applyFill="1" applyBorder="1" applyAlignment="1">
      <alignment horizontal="center" vertical="center"/>
    </xf>
    <xf numFmtId="0" fontId="27" fillId="3" borderId="1" xfId="5" applyFont="1" applyFill="1" applyBorder="1" applyAlignment="1">
      <alignment horizontal="left" vertical="center"/>
    </xf>
    <xf numFmtId="171" fontId="7" fillId="0" borderId="0" xfId="1" applyNumberFormat="1" applyFont="1">
      <alignment vertical="center"/>
    </xf>
    <xf numFmtId="0" fontId="0" fillId="5" borderId="1" xfId="5" applyFont="1" applyFill="1" applyBorder="1" applyAlignment="1">
      <alignment horizontal="center" vertical="center"/>
    </xf>
    <xf numFmtId="0" fontId="0" fillId="5" borderId="1" xfId="7" applyNumberFormat="1" applyFont="1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41" fontId="7" fillId="6" borderId="0" xfId="1" applyFont="1" applyFill="1" applyBorder="1">
      <alignment vertical="center"/>
    </xf>
    <xf numFmtId="9" fontId="7" fillId="10" borderId="0" xfId="2" applyFont="1" applyFill="1" applyBorder="1">
      <alignment vertical="center"/>
    </xf>
    <xf numFmtId="9" fontId="7" fillId="10" borderId="0" xfId="2" applyFont="1" applyFill="1" applyBorder="1" applyAlignment="1">
      <alignment horizontal="right" vertical="center"/>
    </xf>
    <xf numFmtId="0" fontId="0" fillId="12" borderId="2" xfId="0" applyFill="1" applyBorder="1" applyAlignment="1">
      <alignment horizontal="center" vertical="center"/>
    </xf>
    <xf numFmtId="171" fontId="7" fillId="0" borderId="0" xfId="1" applyNumberFormat="1" applyFont="1" applyAlignment="1">
      <alignment horizontal="center" vertical="center"/>
    </xf>
    <xf numFmtId="171" fontId="7" fillId="17" borderId="0" xfId="0" applyNumberFormat="1" applyFont="1" applyFill="1">
      <alignment vertical="center"/>
    </xf>
    <xf numFmtId="171" fontId="7" fillId="17" borderId="0" xfId="1" applyNumberFormat="1" applyFont="1" applyFill="1">
      <alignment vertical="center"/>
    </xf>
    <xf numFmtId="171" fontId="6" fillId="0" borderId="0" xfId="1" applyNumberFormat="1" applyFont="1">
      <alignment vertical="center"/>
    </xf>
    <xf numFmtId="0" fontId="30" fillId="4" borderId="0" xfId="0" applyFont="1" applyFill="1" applyAlignment="1">
      <alignment horizontal="center" vertical="center"/>
    </xf>
    <xf numFmtId="167" fontId="7" fillId="13" borderId="0" xfId="1" applyNumberFormat="1" applyFont="1" applyFill="1" applyBorder="1">
      <alignment vertical="center"/>
    </xf>
    <xf numFmtId="167" fontId="7" fillId="13" borderId="9" xfId="1" applyNumberFormat="1" applyFont="1" applyFill="1" applyBorder="1">
      <alignment vertical="center"/>
    </xf>
    <xf numFmtId="167" fontId="7" fillId="6" borderId="0" xfId="1" applyNumberFormat="1" applyFont="1" applyFill="1">
      <alignment vertical="center"/>
    </xf>
    <xf numFmtId="0" fontId="7" fillId="20" borderId="0" xfId="0" applyFont="1" applyFill="1" applyAlignment="1">
      <alignment horizontal="center" vertical="center"/>
    </xf>
    <xf numFmtId="0" fontId="7" fillId="20" borderId="0" xfId="0" applyFont="1" applyFill="1">
      <alignment vertical="center"/>
    </xf>
    <xf numFmtId="0" fontId="7" fillId="20" borderId="9" xfId="0" applyFont="1" applyFill="1" applyBorder="1">
      <alignment vertical="center"/>
    </xf>
    <xf numFmtId="0" fontId="0" fillId="20" borderId="0" xfId="0" applyFill="1">
      <alignment vertical="center"/>
    </xf>
    <xf numFmtId="0" fontId="0" fillId="18" borderId="0" xfId="0" applyFill="1">
      <alignment vertical="center"/>
    </xf>
    <xf numFmtId="9" fontId="7" fillId="2" borderId="0" xfId="2" applyFont="1" applyFill="1" applyBorder="1">
      <alignment vertical="center"/>
    </xf>
    <xf numFmtId="41" fontId="6" fillId="0" borderId="0" xfId="1" applyFont="1">
      <alignment vertical="center"/>
    </xf>
    <xf numFmtId="167" fontId="6" fillId="0" borderId="0" xfId="1" applyNumberFormat="1" applyFont="1">
      <alignment vertical="center"/>
    </xf>
    <xf numFmtId="164" fontId="6" fillId="0" borderId="0" xfId="0" applyNumberFormat="1" applyFont="1">
      <alignment vertical="center"/>
    </xf>
    <xf numFmtId="41" fontId="29" fillId="4" borderId="0" xfId="1" applyFont="1" applyFill="1" applyBorder="1" applyAlignment="1">
      <alignment horizontal="center" vertical="center"/>
    </xf>
    <xf numFmtId="167" fontId="29" fillId="4" borderId="0" xfId="1" applyNumberFormat="1" applyFont="1" applyFill="1" applyBorder="1" applyAlignment="1">
      <alignment horizontal="center" vertical="center"/>
    </xf>
    <xf numFmtId="164" fontId="29" fillId="4" borderId="0" xfId="0" applyNumberFormat="1" applyFont="1" applyFill="1" applyAlignment="1">
      <alignment horizontal="center" vertical="center"/>
    </xf>
    <xf numFmtId="9" fontId="7" fillId="9" borderId="0" xfId="2" applyFont="1" applyFill="1" applyBorder="1">
      <alignment vertical="center"/>
    </xf>
    <xf numFmtId="9" fontId="7" fillId="9" borderId="0" xfId="2" applyFont="1" applyFill="1" applyBorder="1" applyAlignment="1">
      <alignment horizontal="right" vertical="center"/>
    </xf>
    <xf numFmtId="9" fontId="7" fillId="9" borderId="9" xfId="2" applyFont="1" applyFill="1" applyBorder="1">
      <alignment vertical="center"/>
    </xf>
    <xf numFmtId="9" fontId="7" fillId="9" borderId="9" xfId="2" applyFont="1" applyFill="1" applyBorder="1" applyAlignment="1">
      <alignment horizontal="right" vertical="center"/>
    </xf>
    <xf numFmtId="9" fontId="7" fillId="8" borderId="0" xfId="2" applyFont="1" applyFill="1" applyBorder="1">
      <alignment vertical="center"/>
    </xf>
    <xf numFmtId="9" fontId="7" fillId="8" borderId="0" xfId="2" applyFont="1" applyFill="1" applyBorder="1" applyAlignment="1">
      <alignment horizontal="right" vertical="center"/>
    </xf>
    <xf numFmtId="9" fontId="7" fillId="8" borderId="9" xfId="2" applyFont="1" applyFill="1" applyBorder="1">
      <alignment vertical="center"/>
    </xf>
    <xf numFmtId="9" fontId="7" fillId="8" borderId="9" xfId="2" applyFont="1" applyFill="1" applyBorder="1" applyAlignment="1">
      <alignment horizontal="right" vertical="center"/>
    </xf>
    <xf numFmtId="9" fontId="7" fillId="12" borderId="0" xfId="2" applyFont="1" applyFill="1" applyBorder="1">
      <alignment vertical="center"/>
    </xf>
    <xf numFmtId="9" fontId="7" fillId="12" borderId="0" xfId="2" applyFont="1" applyFill="1" applyBorder="1" applyAlignment="1">
      <alignment horizontal="right" vertical="center"/>
    </xf>
    <xf numFmtId="9" fontId="7" fillId="12" borderId="9" xfId="2" applyFont="1" applyFill="1" applyBorder="1">
      <alignment vertical="center"/>
    </xf>
    <xf numFmtId="166" fontId="7" fillId="12" borderId="9" xfId="0" applyNumberFormat="1" applyFont="1" applyFill="1" applyBorder="1" applyAlignment="1">
      <alignment horizontal="right" vertical="center"/>
    </xf>
    <xf numFmtId="9" fontId="7" fillId="12" borderId="9" xfId="2" applyFont="1" applyFill="1" applyBorder="1" applyAlignment="1">
      <alignment horizontal="right" vertical="center"/>
    </xf>
    <xf numFmtId="9" fontId="7" fillId="2" borderId="0" xfId="2" applyFont="1" applyFill="1" applyBorder="1" applyAlignment="1">
      <alignment horizontal="right" vertical="center"/>
    </xf>
    <xf numFmtId="9" fontId="7" fillId="14" borderId="0" xfId="2" applyFont="1" applyFill="1" applyBorder="1">
      <alignment vertical="center"/>
    </xf>
    <xf numFmtId="9" fontId="7" fillId="14" borderId="0" xfId="2" applyFont="1" applyFill="1" applyBorder="1" applyAlignment="1">
      <alignment horizontal="right" vertical="center"/>
    </xf>
    <xf numFmtId="0" fontId="7" fillId="22" borderId="2" xfId="0" applyFont="1" applyFill="1" applyBorder="1" applyAlignment="1">
      <alignment horizontal="center" vertical="center"/>
    </xf>
    <xf numFmtId="0" fontId="7" fillId="23" borderId="2" xfId="0" applyFont="1" applyFill="1" applyBorder="1" applyAlignment="1">
      <alignment horizontal="center" vertical="center"/>
    </xf>
    <xf numFmtId="9" fontId="0" fillId="0" borderId="0" xfId="0" applyNumberFormat="1">
      <alignment vertical="center"/>
    </xf>
    <xf numFmtId="170" fontId="7" fillId="21" borderId="0" xfId="2" applyNumberFormat="1" applyFont="1" applyFill="1" applyBorder="1">
      <alignment vertical="center"/>
    </xf>
    <xf numFmtId="0" fontId="0" fillId="0" borderId="53" xfId="0" applyBorder="1">
      <alignment vertical="center"/>
    </xf>
    <xf numFmtId="0" fontId="4" fillId="0" borderId="9" xfId="0" applyFont="1" applyBorder="1">
      <alignment vertical="center"/>
    </xf>
    <xf numFmtId="0" fontId="4" fillId="0" borderId="53" xfId="0" applyFont="1" applyBorder="1">
      <alignment vertical="center"/>
    </xf>
    <xf numFmtId="0" fontId="7" fillId="22" borderId="0" xfId="0" applyFont="1" applyFill="1" applyAlignment="1">
      <alignment horizontal="center" vertical="center"/>
    </xf>
    <xf numFmtId="41" fontId="7" fillId="22" borderId="0" xfId="1" applyFont="1" applyFill="1">
      <alignment vertical="center"/>
    </xf>
    <xf numFmtId="167" fontId="7" fillId="22" borderId="0" xfId="1" applyNumberFormat="1" applyFont="1" applyFill="1">
      <alignment vertical="center"/>
    </xf>
    <xf numFmtId="0" fontId="7" fillId="22" borderId="0" xfId="0" applyFont="1" applyFill="1">
      <alignment vertical="center"/>
    </xf>
    <xf numFmtId="167" fontId="7" fillId="22" borderId="0" xfId="0" applyNumberFormat="1" applyFont="1" applyFill="1">
      <alignment vertical="center"/>
    </xf>
    <xf numFmtId="0" fontId="29" fillId="4" borderId="0" xfId="0" applyFont="1" applyFill="1" applyAlignment="1">
      <alignment horizontal="center" vertical="center"/>
    </xf>
    <xf numFmtId="41" fontId="7" fillId="10" borderId="0" xfId="1" applyFont="1" applyFill="1">
      <alignment vertical="center"/>
    </xf>
    <xf numFmtId="41" fontId="7" fillId="12" borderId="0" xfId="1" applyFont="1" applyFill="1">
      <alignment vertical="center"/>
    </xf>
    <xf numFmtId="164" fontId="0" fillId="0" borderId="0" xfId="0" applyNumberFormat="1">
      <alignment vertical="center"/>
    </xf>
    <xf numFmtId="41" fontId="12" fillId="5" borderId="18" xfId="9" applyFont="1" applyFill="1" applyBorder="1" applyAlignment="1">
      <alignment horizontal="center" vertical="center"/>
    </xf>
    <xf numFmtId="9" fontId="12" fillId="5" borderId="18" xfId="2" applyFont="1" applyFill="1" applyBorder="1" applyAlignment="1">
      <alignment horizontal="center" vertical="center"/>
    </xf>
    <xf numFmtId="2" fontId="4" fillId="12" borderId="18" xfId="5" applyNumberFormat="1" applyFont="1" applyFill="1" applyBorder="1" applyAlignment="1">
      <alignment horizontal="center" vertical="center"/>
    </xf>
    <xf numFmtId="0" fontId="4" fillId="12" borderId="18" xfId="5" applyFont="1" applyFill="1" applyBorder="1" applyAlignment="1">
      <alignment horizontal="center" vertical="center"/>
    </xf>
    <xf numFmtId="41" fontId="0" fillId="5" borderId="1" xfId="1" applyFont="1" applyFill="1" applyBorder="1" applyAlignment="1">
      <alignment horizontal="center" vertical="center" shrinkToFit="1"/>
    </xf>
    <xf numFmtId="41" fontId="0" fillId="5" borderId="1" xfId="1" applyFont="1" applyFill="1" applyBorder="1" applyAlignment="1">
      <alignment horizontal="center" vertical="center"/>
    </xf>
    <xf numFmtId="43" fontId="0" fillId="0" borderId="0" xfId="0" applyNumberFormat="1">
      <alignment vertical="center"/>
    </xf>
    <xf numFmtId="0" fontId="12" fillId="5" borderId="44" xfId="5" applyFont="1" applyFill="1" applyBorder="1" applyAlignment="1">
      <alignment horizontal="center" vertical="center"/>
    </xf>
    <xf numFmtId="168" fontId="9" fillId="5" borderId="44" xfId="10" applyNumberFormat="1" applyFill="1" applyBorder="1" applyAlignment="1">
      <alignment horizontal="center" vertical="center"/>
    </xf>
    <xf numFmtId="1" fontId="0" fillId="5" borderId="1" xfId="7" applyNumberFormat="1" applyFont="1" applyFill="1" applyBorder="1" applyAlignment="1">
      <alignment horizontal="center" vertical="center"/>
    </xf>
    <xf numFmtId="41" fontId="9" fillId="5" borderId="44" xfId="1" applyFont="1" applyFill="1" applyBorder="1" applyAlignment="1">
      <alignment horizontal="center" vertical="center"/>
    </xf>
    <xf numFmtId="0" fontId="0" fillId="5" borderId="1" xfId="1" applyNumberFormat="1" applyFont="1" applyFill="1" applyBorder="1" applyAlignment="1">
      <alignment horizontal="center" vertical="center"/>
    </xf>
    <xf numFmtId="0" fontId="6" fillId="6" borderId="0" xfId="0" applyFont="1" applyFill="1" applyAlignment="1">
      <alignment horizontal="center" vertical="center"/>
    </xf>
    <xf numFmtId="41" fontId="6" fillId="6" borderId="0" xfId="1" applyFont="1" applyFill="1">
      <alignment vertical="center"/>
    </xf>
    <xf numFmtId="0" fontId="7" fillId="28" borderId="0" xfId="0" applyFont="1" applyFill="1" applyAlignment="1">
      <alignment horizontal="center" vertical="center"/>
    </xf>
    <xf numFmtId="0" fontId="0" fillId="28" borderId="0" xfId="0" applyFill="1">
      <alignment vertical="center"/>
    </xf>
    <xf numFmtId="169" fontId="7" fillId="17" borderId="0" xfId="0" applyNumberFormat="1" applyFont="1" applyFill="1" applyAlignment="1">
      <alignment horizontal="center" vertical="center"/>
    </xf>
    <xf numFmtId="171" fontId="7" fillId="17" borderId="0" xfId="0" applyNumberFormat="1" applyFont="1" applyFill="1" applyAlignment="1">
      <alignment horizontal="center" vertical="center"/>
    </xf>
    <xf numFmtId="169" fontId="0" fillId="5" borderId="1" xfId="1" applyNumberFormat="1" applyFont="1" applyFill="1" applyBorder="1" applyAlignment="1">
      <alignment horizontal="center" vertical="center"/>
    </xf>
    <xf numFmtId="167" fontId="6" fillId="6" borderId="0" xfId="1" applyNumberFormat="1" applyFont="1" applyFill="1">
      <alignment vertical="center"/>
    </xf>
    <xf numFmtId="164" fontId="6" fillId="5" borderId="0" xfId="0" applyNumberFormat="1" applyFont="1" applyFill="1" applyAlignment="1">
      <alignment horizontal="right" vertical="center"/>
    </xf>
    <xf numFmtId="176" fontId="6" fillId="5" borderId="0" xfId="0" applyNumberFormat="1" applyFont="1" applyFill="1">
      <alignment vertical="center"/>
    </xf>
    <xf numFmtId="167" fontId="7" fillId="10" borderId="0" xfId="1" applyNumberFormat="1" applyFont="1" applyFill="1">
      <alignment vertical="center"/>
    </xf>
    <xf numFmtId="41" fontId="7" fillId="10" borderId="0" xfId="1" applyFont="1" applyFill="1" applyAlignment="1">
      <alignment horizontal="center" vertical="center"/>
    </xf>
    <xf numFmtId="41" fontId="7" fillId="10" borderId="0" xfId="1" applyFont="1" applyFill="1" applyAlignment="1">
      <alignment vertical="center"/>
    </xf>
    <xf numFmtId="167" fontId="7" fillId="10" borderId="0" xfId="1" applyNumberFormat="1" applyFont="1" applyFill="1" applyAlignment="1">
      <alignment vertical="center"/>
    </xf>
    <xf numFmtId="41" fontId="7" fillId="10" borderId="0" xfId="1" applyFont="1" applyFill="1" applyBorder="1">
      <alignment vertical="center"/>
    </xf>
    <xf numFmtId="174" fontId="7" fillId="10" borderId="0" xfId="1" applyNumberFormat="1" applyFont="1" applyFill="1" applyBorder="1">
      <alignment vertical="center"/>
    </xf>
    <xf numFmtId="41" fontId="7" fillId="10" borderId="9" xfId="1" applyFont="1" applyFill="1" applyBorder="1">
      <alignment vertical="center"/>
    </xf>
    <xf numFmtId="9" fontId="7" fillId="29" borderId="0" xfId="2" applyFont="1" applyFill="1" applyBorder="1">
      <alignment vertical="center"/>
    </xf>
    <xf numFmtId="9" fontId="7" fillId="29" borderId="0" xfId="2" applyFont="1" applyFill="1" applyBorder="1" applyAlignment="1">
      <alignment horizontal="right" vertical="center"/>
    </xf>
    <xf numFmtId="9" fontId="7" fillId="16" borderId="9" xfId="2" applyFont="1" applyFill="1" applyBorder="1">
      <alignment vertical="center"/>
    </xf>
    <xf numFmtId="0" fontId="7" fillId="16" borderId="9" xfId="0" applyFont="1" applyFill="1" applyBorder="1" applyAlignment="1">
      <alignment horizontal="center" vertical="center"/>
    </xf>
    <xf numFmtId="9" fontId="7" fillId="16" borderId="9" xfId="2" applyFont="1" applyFill="1" applyBorder="1" applyAlignment="1">
      <alignment horizontal="right" vertical="center"/>
    </xf>
    <xf numFmtId="0" fontId="7" fillId="8" borderId="4" xfId="0" applyFont="1" applyFill="1" applyBorder="1" applyAlignment="1">
      <alignment horizontal="center" vertical="center"/>
    </xf>
    <xf numFmtId="41" fontId="7" fillId="8" borderId="4" xfId="1" applyFont="1" applyFill="1" applyBorder="1">
      <alignment vertical="center"/>
    </xf>
    <xf numFmtId="174" fontId="7" fillId="8" borderId="4" xfId="1" applyNumberFormat="1" applyFont="1" applyFill="1" applyBorder="1">
      <alignment vertical="center"/>
    </xf>
    <xf numFmtId="41" fontId="7" fillId="8" borderId="0" xfId="1" applyFont="1" applyFill="1">
      <alignment vertical="center"/>
    </xf>
    <xf numFmtId="167" fontId="7" fillId="8" borderId="0" xfId="1" applyNumberFormat="1" applyFont="1" applyFill="1">
      <alignment vertical="center"/>
    </xf>
    <xf numFmtId="41" fontId="7" fillId="8" borderId="0" xfId="1" applyFont="1" applyFill="1" applyBorder="1">
      <alignment vertical="center"/>
    </xf>
    <xf numFmtId="167" fontId="7" fillId="8" borderId="0" xfId="1" applyNumberFormat="1" applyFont="1" applyFill="1" applyBorder="1">
      <alignment vertical="center"/>
    </xf>
    <xf numFmtId="0" fontId="0" fillId="30" borderId="0" xfId="0" applyFill="1">
      <alignment vertical="center"/>
    </xf>
    <xf numFmtId="41" fontId="7" fillId="2" borderId="0" xfId="1" applyFont="1" applyFill="1">
      <alignment vertical="center"/>
    </xf>
    <xf numFmtId="167" fontId="7" fillId="2" borderId="0" xfId="1" applyNumberFormat="1" applyFont="1" applyFill="1">
      <alignment vertical="center"/>
    </xf>
    <xf numFmtId="41" fontId="7" fillId="2" borderId="0" xfId="1" applyFont="1" applyFill="1" applyBorder="1">
      <alignment vertical="center"/>
    </xf>
    <xf numFmtId="174" fontId="7" fillId="2" borderId="0" xfId="1" applyNumberFormat="1" applyFont="1" applyFill="1" applyBorder="1">
      <alignment vertical="center"/>
    </xf>
    <xf numFmtId="167" fontId="7" fillId="2" borderId="0" xfId="1" applyNumberFormat="1" applyFont="1" applyFill="1" applyBorder="1">
      <alignment vertical="center"/>
    </xf>
    <xf numFmtId="41" fontId="7" fillId="12" borderId="0" xfId="1" applyFont="1" applyFill="1" applyBorder="1">
      <alignment vertical="center"/>
    </xf>
    <xf numFmtId="174" fontId="7" fillId="12" borderId="0" xfId="1" applyNumberFormat="1" applyFont="1" applyFill="1" applyBorder="1">
      <alignment vertical="center"/>
    </xf>
    <xf numFmtId="167" fontId="7" fillId="12" borderId="0" xfId="1" applyNumberFormat="1" applyFont="1" applyFill="1">
      <alignment vertical="center"/>
    </xf>
    <xf numFmtId="0" fontId="7" fillId="9" borderId="11" xfId="0" applyFont="1" applyFill="1" applyBorder="1" applyAlignment="1">
      <alignment horizontal="center" vertical="center" wrapText="1"/>
    </xf>
    <xf numFmtId="41" fontId="7" fillId="9" borderId="11" xfId="1" applyFont="1" applyFill="1" applyBorder="1" applyAlignment="1">
      <alignment vertical="center" wrapText="1"/>
    </xf>
    <xf numFmtId="174" fontId="7" fillId="9" borderId="11" xfId="0" applyNumberFormat="1" applyFont="1" applyFill="1" applyBorder="1" applyAlignment="1">
      <alignment vertical="center" wrapText="1"/>
    </xf>
    <xf numFmtId="0" fontId="7" fillId="9" borderId="0" xfId="0" applyFont="1" applyFill="1" applyAlignment="1">
      <alignment horizontal="center" vertical="center" wrapText="1"/>
    </xf>
    <xf numFmtId="41" fontId="7" fillId="9" borderId="0" xfId="1" applyFont="1" applyFill="1" applyBorder="1" applyAlignment="1">
      <alignment vertical="center" wrapText="1"/>
    </xf>
    <xf numFmtId="167" fontId="7" fillId="9" borderId="0" xfId="0" applyNumberFormat="1" applyFont="1" applyFill="1" applyAlignment="1">
      <alignment vertical="center" wrapText="1"/>
    </xf>
    <xf numFmtId="174" fontId="7" fillId="9" borderId="0" xfId="0" applyNumberFormat="1" applyFont="1" applyFill="1" applyAlignment="1">
      <alignment vertical="center" wrapText="1"/>
    </xf>
    <xf numFmtId="41" fontId="7" fillId="9" borderId="0" xfId="1" applyFont="1" applyFill="1" applyBorder="1" applyAlignment="1">
      <alignment horizontal="center" vertical="center" wrapText="1"/>
    </xf>
    <xf numFmtId="0" fontId="7" fillId="9" borderId="9" xfId="0" applyFont="1" applyFill="1" applyBorder="1" applyAlignment="1">
      <alignment horizontal="center" vertical="center" wrapText="1"/>
    </xf>
    <xf numFmtId="41" fontId="7" fillId="9" borderId="9" xfId="1" applyFont="1" applyFill="1" applyBorder="1" applyAlignment="1">
      <alignment vertical="center" wrapText="1"/>
    </xf>
    <xf numFmtId="174" fontId="7" fillId="9" borderId="9" xfId="0" applyNumberFormat="1" applyFont="1" applyFill="1" applyBorder="1" applyAlignment="1">
      <alignment vertical="center" wrapText="1"/>
    </xf>
    <xf numFmtId="0" fontId="0" fillId="14" borderId="2" xfId="0" applyFill="1" applyBorder="1" applyAlignment="1">
      <alignment horizontal="center" vertical="center"/>
    </xf>
    <xf numFmtId="0" fontId="0" fillId="31" borderId="0" xfId="0" applyFill="1">
      <alignment vertical="center"/>
    </xf>
    <xf numFmtId="41" fontId="7" fillId="14" borderId="0" xfId="1" applyFont="1" applyFill="1">
      <alignment vertical="center"/>
    </xf>
    <xf numFmtId="167" fontId="7" fillId="14" borderId="0" xfId="1" applyNumberFormat="1" applyFont="1" applyFill="1">
      <alignment vertical="center"/>
    </xf>
    <xf numFmtId="41" fontId="7" fillId="14" borderId="0" xfId="1" applyFont="1" applyFill="1" applyBorder="1">
      <alignment vertical="center"/>
    </xf>
    <xf numFmtId="174" fontId="7" fillId="14" borderId="0" xfId="1" applyNumberFormat="1" applyFont="1" applyFill="1" applyBorder="1">
      <alignment vertical="center"/>
    </xf>
    <xf numFmtId="167" fontId="7" fillId="14" borderId="0" xfId="1" applyNumberFormat="1" applyFont="1" applyFill="1" applyBorder="1">
      <alignment vertical="center"/>
    </xf>
    <xf numFmtId="41" fontId="7" fillId="14" borderId="9" xfId="1" applyFont="1" applyFill="1" applyBorder="1">
      <alignment vertical="center"/>
    </xf>
    <xf numFmtId="167" fontId="7" fillId="14" borderId="9" xfId="1" applyNumberFormat="1" applyFont="1" applyFill="1" applyBorder="1">
      <alignment vertical="center"/>
    </xf>
    <xf numFmtId="0" fontId="6" fillId="0" borderId="9" xfId="0" applyFont="1" applyBorder="1" applyAlignment="1">
      <alignment horizontal="center" vertical="center"/>
    </xf>
    <xf numFmtId="0" fontId="7" fillId="7" borderId="0" xfId="0" applyFont="1" applyFill="1">
      <alignment vertical="center"/>
    </xf>
    <xf numFmtId="0" fontId="0" fillId="32" borderId="2" xfId="0" applyFill="1" applyBorder="1" applyAlignment="1">
      <alignment horizontal="center" vertical="center"/>
    </xf>
    <xf numFmtId="0" fontId="8" fillId="32" borderId="2" xfId="0" applyFont="1" applyFill="1" applyBorder="1" applyAlignment="1">
      <alignment horizontal="center" vertical="center"/>
    </xf>
    <xf numFmtId="0" fontId="7" fillId="32" borderId="0" xfId="0" applyFont="1" applyFill="1" applyAlignment="1">
      <alignment horizontal="center" vertical="center"/>
    </xf>
    <xf numFmtId="41" fontId="7" fillId="32" borderId="0" xfId="1" applyFont="1" applyFill="1" applyBorder="1">
      <alignment vertical="center"/>
    </xf>
    <xf numFmtId="174" fontId="7" fillId="32" borderId="0" xfId="1" applyNumberFormat="1" applyFont="1" applyFill="1" applyBorder="1">
      <alignment vertical="center"/>
    </xf>
    <xf numFmtId="9" fontId="7" fillId="32" borderId="0" xfId="2" applyFont="1" applyFill="1" applyBorder="1">
      <alignment vertical="center"/>
    </xf>
    <xf numFmtId="9" fontId="7" fillId="32" borderId="0" xfId="2" applyFont="1" applyFill="1" applyBorder="1" applyAlignment="1">
      <alignment horizontal="right" vertical="center"/>
    </xf>
    <xf numFmtId="167" fontId="7" fillId="32" borderId="0" xfId="1" applyNumberFormat="1" applyFont="1" applyFill="1" applyBorder="1">
      <alignment vertical="center"/>
    </xf>
    <xf numFmtId="9" fontId="0" fillId="32" borderId="0" xfId="2" applyFont="1" applyFill="1" applyBorder="1">
      <alignment vertical="center"/>
    </xf>
    <xf numFmtId="177" fontId="7" fillId="32" borderId="0" xfId="1" applyNumberFormat="1" applyFont="1" applyFill="1" applyBorder="1">
      <alignment vertical="center"/>
    </xf>
    <xf numFmtId="41" fontId="7" fillId="14" borderId="11" xfId="1" applyFont="1" applyFill="1" applyBorder="1">
      <alignment vertical="center"/>
    </xf>
    <xf numFmtId="0" fontId="7" fillId="14" borderId="11" xfId="0" applyFont="1" applyFill="1" applyBorder="1" applyAlignment="1">
      <alignment horizontal="center" vertical="center"/>
    </xf>
    <xf numFmtId="2" fontId="0" fillId="7" borderId="1" xfId="8" applyNumberFormat="1" applyFont="1" applyFill="1" applyBorder="1" applyAlignment="1">
      <alignment horizontal="center" vertical="center" shrinkToFit="1"/>
    </xf>
    <xf numFmtId="2" fontId="0" fillId="17" borderId="1" xfId="8" applyNumberFormat="1" applyFont="1" applyFill="1" applyBorder="1" applyAlignment="1">
      <alignment horizontal="center" vertical="center" shrinkToFit="1"/>
    </xf>
    <xf numFmtId="41" fontId="0" fillId="5" borderId="1" xfId="1" applyFont="1" applyFill="1" applyBorder="1" applyAlignment="1">
      <alignment horizontal="left" vertical="center" shrinkToFit="1"/>
    </xf>
    <xf numFmtId="41" fontId="0" fillId="5" borderId="1" xfId="1" applyFont="1" applyFill="1" applyBorder="1" applyAlignment="1">
      <alignment horizontal="left" vertical="center"/>
    </xf>
    <xf numFmtId="2" fontId="0" fillId="12" borderId="1" xfId="8" applyNumberFormat="1" applyFont="1" applyFill="1" applyBorder="1" applyAlignment="1">
      <alignment horizontal="center" vertical="center" shrinkToFit="1"/>
    </xf>
    <xf numFmtId="171" fontId="0" fillId="7" borderId="1" xfId="1" applyNumberFormat="1" applyFont="1" applyFill="1" applyBorder="1" applyAlignment="1">
      <alignment horizontal="center" vertical="center" shrinkToFit="1"/>
    </xf>
    <xf numFmtId="171" fontId="0" fillId="17" borderId="1" xfId="1" applyNumberFormat="1" applyFont="1" applyFill="1" applyBorder="1" applyAlignment="1">
      <alignment horizontal="center" vertical="center" shrinkToFit="1"/>
    </xf>
    <xf numFmtId="171" fontId="0" fillId="12" borderId="1" xfId="1" applyNumberFormat="1" applyFont="1" applyFill="1" applyBorder="1" applyAlignment="1">
      <alignment horizontal="center" vertical="center" shrinkToFit="1"/>
    </xf>
    <xf numFmtId="0" fontId="7" fillId="2" borderId="11" xfId="0" applyFont="1" applyFill="1" applyBorder="1" applyAlignment="1">
      <alignment horizontal="center" vertical="center"/>
    </xf>
    <xf numFmtId="41" fontId="7" fillId="2" borderId="11" xfId="1" applyFont="1" applyFill="1" applyBorder="1">
      <alignment vertical="center"/>
    </xf>
    <xf numFmtId="1" fontId="0" fillId="5" borderId="1" xfId="1" applyNumberFormat="1" applyFont="1" applyFill="1" applyBorder="1" applyAlignment="1">
      <alignment horizontal="center" vertical="center"/>
    </xf>
    <xf numFmtId="0" fontId="27" fillId="3" borderId="54" xfId="5" applyFont="1" applyFill="1" applyBorder="1" applyAlignment="1">
      <alignment horizontal="left" vertical="center"/>
    </xf>
    <xf numFmtId="41" fontId="12" fillId="5" borderId="19" xfId="9" applyFont="1" applyFill="1" applyBorder="1" applyAlignment="1">
      <alignment horizontal="center" vertical="center"/>
    </xf>
    <xf numFmtId="9" fontId="12" fillId="5" borderId="19" xfId="2" applyFont="1" applyFill="1" applyBorder="1" applyAlignment="1">
      <alignment horizontal="center" vertical="center"/>
    </xf>
    <xf numFmtId="0" fontId="27" fillId="3" borderId="55" xfId="5" applyFont="1" applyFill="1" applyBorder="1" applyAlignment="1">
      <alignment horizontal="center" vertical="center"/>
    </xf>
    <xf numFmtId="0" fontId="27" fillId="3" borderId="35" xfId="5" applyFont="1" applyFill="1" applyBorder="1" applyAlignment="1">
      <alignment horizontal="left" vertical="center"/>
    </xf>
    <xf numFmtId="0" fontId="27" fillId="3" borderId="46" xfId="5" applyFont="1" applyFill="1" applyBorder="1" applyAlignment="1">
      <alignment horizontal="left" vertical="center"/>
    </xf>
    <xf numFmtId="168" fontId="27" fillId="3" borderId="35" xfId="5" applyNumberFormat="1" applyFont="1" applyFill="1" applyBorder="1" applyAlignment="1">
      <alignment horizontal="left" vertical="center"/>
    </xf>
    <xf numFmtId="0" fontId="27" fillId="3" borderId="36" xfId="5" applyFont="1" applyFill="1" applyBorder="1" applyAlignment="1">
      <alignment horizontal="left" vertical="center"/>
    </xf>
    <xf numFmtId="0" fontId="4" fillId="12" borderId="34" xfId="5" applyFont="1" applyFill="1" applyBorder="1" applyAlignment="1">
      <alignment horizontal="center" vertical="center" wrapText="1"/>
    </xf>
    <xf numFmtId="41" fontId="0" fillId="12" borderId="49" xfId="1" applyFont="1" applyFill="1" applyBorder="1" applyAlignment="1">
      <alignment horizontal="center" vertical="center"/>
    </xf>
    <xf numFmtId="41" fontId="0" fillId="12" borderId="18" xfId="1" applyFont="1" applyFill="1" applyBorder="1" applyAlignment="1">
      <alignment horizontal="center" vertical="center"/>
    </xf>
    <xf numFmtId="41" fontId="4" fillId="12" borderId="18" xfId="1" applyFont="1" applyFill="1" applyBorder="1" applyAlignment="1">
      <alignment horizontal="center" vertical="center"/>
    </xf>
    <xf numFmtId="41" fontId="8" fillId="12" borderId="18" xfId="1" applyFont="1" applyFill="1" applyBorder="1" applyAlignment="1">
      <alignment horizontal="center" vertical="center"/>
    </xf>
    <xf numFmtId="171" fontId="0" fillId="12" borderId="44" xfId="1" applyNumberFormat="1" applyFont="1" applyFill="1" applyBorder="1" applyAlignment="1">
      <alignment horizontal="center" vertical="center"/>
    </xf>
    <xf numFmtId="41" fontId="0" fillId="12" borderId="46" xfId="1" applyFont="1" applyFill="1" applyBorder="1" applyAlignment="1">
      <alignment horizontal="center" vertical="center"/>
    </xf>
    <xf numFmtId="41" fontId="7" fillId="16" borderId="9" xfId="1" applyFont="1" applyFill="1" applyBorder="1">
      <alignment vertical="center"/>
    </xf>
    <xf numFmtId="167" fontId="7" fillId="6" borderId="0" xfId="1" applyNumberFormat="1" applyFont="1" applyFill="1" applyBorder="1">
      <alignment vertical="center"/>
    </xf>
    <xf numFmtId="41" fontId="12" fillId="5" borderId="44" xfId="1" applyFont="1" applyFill="1" applyBorder="1" applyAlignment="1">
      <alignment horizontal="center" vertical="center"/>
    </xf>
    <xf numFmtId="41" fontId="0" fillId="12" borderId="18" xfId="1" applyFont="1" applyFill="1" applyBorder="1" applyAlignment="1">
      <alignment vertical="center" shrinkToFit="1"/>
    </xf>
    <xf numFmtId="0" fontId="7" fillId="22" borderId="8" xfId="0" applyFont="1" applyFill="1" applyBorder="1" applyAlignment="1">
      <alignment horizontal="center" vertical="center"/>
    </xf>
    <xf numFmtId="0" fontId="7" fillId="22" borderId="9" xfId="0" applyFont="1" applyFill="1" applyBorder="1" applyAlignment="1">
      <alignment horizontal="center" vertical="center"/>
    </xf>
    <xf numFmtId="41" fontId="7" fillId="22" borderId="9" xfId="1" applyFont="1" applyFill="1" applyBorder="1">
      <alignment vertical="center"/>
    </xf>
    <xf numFmtId="167" fontId="7" fillId="22" borderId="9" xfId="1" applyNumberFormat="1" applyFont="1" applyFill="1" applyBorder="1">
      <alignment vertical="center"/>
    </xf>
    <xf numFmtId="9" fontId="7" fillId="22" borderId="9" xfId="2" applyFont="1" applyFill="1" applyBorder="1">
      <alignment vertical="center"/>
    </xf>
    <xf numFmtId="9" fontId="7" fillId="22" borderId="9" xfId="2" applyFont="1" applyFill="1" applyBorder="1" applyAlignment="1">
      <alignment horizontal="right" vertical="center"/>
    </xf>
    <xf numFmtId="0" fontId="0" fillId="19" borderId="2" xfId="5" applyFont="1" applyFill="1" applyBorder="1">
      <alignment vertical="center"/>
    </xf>
    <xf numFmtId="0" fontId="0" fillId="19" borderId="33" xfId="5" applyFont="1" applyFill="1" applyBorder="1">
      <alignment vertical="center"/>
    </xf>
    <xf numFmtId="0" fontId="0" fillId="19" borderId="42" xfId="5" applyFont="1" applyFill="1" applyBorder="1">
      <alignment vertical="center"/>
    </xf>
    <xf numFmtId="0" fontId="0" fillId="19" borderId="51" xfId="5" applyFont="1" applyFill="1" applyBorder="1">
      <alignment vertical="center"/>
    </xf>
    <xf numFmtId="2" fontId="8" fillId="12" borderId="18" xfId="5" applyNumberFormat="1" applyFont="1" applyFill="1" applyBorder="1" applyAlignment="1">
      <alignment horizontal="center" vertical="center"/>
    </xf>
    <xf numFmtId="171" fontId="9" fillId="17" borderId="47" xfId="1" applyNumberFormat="1" applyFont="1" applyFill="1" applyBorder="1" applyAlignment="1">
      <alignment horizontal="center" vertical="center"/>
    </xf>
    <xf numFmtId="169" fontId="9" fillId="7" borderId="47" xfId="9" applyNumberFormat="1" applyFill="1" applyBorder="1" applyAlignment="1">
      <alignment horizontal="center" vertical="center" wrapText="1" shrinkToFit="1"/>
    </xf>
    <xf numFmtId="0" fontId="6" fillId="13" borderId="57" xfId="0" applyFont="1" applyFill="1" applyBorder="1" applyAlignment="1">
      <alignment horizontal="center" vertical="center"/>
    </xf>
    <xf numFmtId="41" fontId="7" fillId="22" borderId="11" xfId="1" applyFont="1" applyFill="1" applyBorder="1">
      <alignment vertical="center"/>
    </xf>
    <xf numFmtId="0" fontId="7" fillId="22" borderId="11" xfId="0" applyFont="1" applyFill="1" applyBorder="1" applyAlignment="1">
      <alignment horizontal="center" vertical="center"/>
    </xf>
    <xf numFmtId="0" fontId="7" fillId="22" borderId="10" xfId="0" applyFont="1" applyFill="1" applyBorder="1" applyAlignment="1">
      <alignment horizontal="center" vertical="center"/>
    </xf>
    <xf numFmtId="0" fontId="6" fillId="20" borderId="0" xfId="0" applyFont="1" applyFill="1" applyAlignment="1">
      <alignment horizontal="center" vertical="center"/>
    </xf>
    <xf numFmtId="0" fontId="0" fillId="19" borderId="15" xfId="5" applyFont="1" applyFill="1" applyBorder="1" applyAlignment="1">
      <alignment horizontal="center" vertical="center" wrapText="1"/>
    </xf>
    <xf numFmtId="9" fontId="7" fillId="22" borderId="0" xfId="2" applyFont="1" applyFill="1" applyBorder="1">
      <alignment vertical="center"/>
    </xf>
    <xf numFmtId="9" fontId="7" fillId="22" borderId="0" xfId="2" applyFont="1" applyFill="1" applyBorder="1" applyAlignment="1">
      <alignment horizontal="right" vertical="center"/>
    </xf>
    <xf numFmtId="9" fontId="7" fillId="16" borderId="0" xfId="2" applyFont="1" applyFill="1" applyBorder="1">
      <alignment vertical="center"/>
    </xf>
    <xf numFmtId="9" fontId="7" fillId="16" borderId="0" xfId="2" applyFont="1" applyFill="1" applyBorder="1" applyAlignment="1">
      <alignment horizontal="right" vertical="center"/>
    </xf>
    <xf numFmtId="0" fontId="7" fillId="29" borderId="0" xfId="0" applyFont="1" applyFill="1" applyAlignment="1">
      <alignment horizontal="center" vertical="center"/>
    </xf>
    <xf numFmtId="9" fontId="7" fillId="11" borderId="0" xfId="2" applyFont="1" applyFill="1" applyBorder="1">
      <alignment vertical="center"/>
    </xf>
    <xf numFmtId="0" fontId="7" fillId="11" borderId="0" xfId="0" applyFont="1" applyFill="1" applyAlignment="1">
      <alignment horizontal="center" vertical="center"/>
    </xf>
    <xf numFmtId="9" fontId="7" fillId="11" borderId="0" xfId="2" applyFont="1" applyFill="1" applyBorder="1" applyAlignment="1">
      <alignment horizontal="right" vertical="center"/>
    </xf>
    <xf numFmtId="177" fontId="7" fillId="13" borderId="0" xfId="1" applyNumberFormat="1" applyFont="1" applyFill="1" applyBorder="1">
      <alignment vertical="center"/>
    </xf>
    <xf numFmtId="175" fontId="7" fillId="13" borderId="0" xfId="1" applyNumberFormat="1" applyFont="1" applyFill="1" applyBorder="1">
      <alignment vertical="center"/>
    </xf>
    <xf numFmtId="175" fontId="7" fillId="13" borderId="9" xfId="1" applyNumberFormat="1" applyFont="1" applyFill="1" applyBorder="1">
      <alignment vertical="center"/>
    </xf>
    <xf numFmtId="175" fontId="7" fillId="22" borderId="0" xfId="1" applyNumberFormat="1" applyFont="1" applyFill="1" applyBorder="1">
      <alignment vertical="center"/>
    </xf>
    <xf numFmtId="175" fontId="7" fillId="22" borderId="9" xfId="1" applyNumberFormat="1" applyFont="1" applyFill="1" applyBorder="1">
      <alignment vertical="center"/>
    </xf>
    <xf numFmtId="175" fontId="7" fillId="10" borderId="0" xfId="1" applyNumberFormat="1" applyFont="1" applyFill="1" applyBorder="1">
      <alignment vertical="center"/>
    </xf>
    <xf numFmtId="175" fontId="7" fillId="10" borderId="9" xfId="1" applyNumberFormat="1" applyFont="1" applyFill="1" applyBorder="1">
      <alignment vertical="center"/>
    </xf>
    <xf numFmtId="175" fontId="7" fillId="9" borderId="0" xfId="1" applyNumberFormat="1" applyFont="1" applyFill="1" applyBorder="1">
      <alignment vertical="center"/>
    </xf>
    <xf numFmtId="175" fontId="7" fillId="9" borderId="9" xfId="1" applyNumberFormat="1" applyFont="1" applyFill="1" applyBorder="1">
      <alignment vertical="center"/>
    </xf>
    <xf numFmtId="175" fontId="7" fillId="16" borderId="9" xfId="1" applyNumberFormat="1" applyFont="1" applyFill="1" applyBorder="1">
      <alignment vertical="center"/>
    </xf>
    <xf numFmtId="175" fontId="7" fillId="8" borderId="0" xfId="1" applyNumberFormat="1" applyFont="1" applyFill="1" applyBorder="1">
      <alignment vertical="center"/>
    </xf>
    <xf numFmtId="175" fontId="7" fillId="8" borderId="9" xfId="1" applyNumberFormat="1" applyFont="1" applyFill="1" applyBorder="1">
      <alignment vertical="center"/>
    </xf>
    <xf numFmtId="175" fontId="7" fillId="12" borderId="0" xfId="1" applyNumberFormat="1" applyFont="1" applyFill="1" applyBorder="1">
      <alignment vertical="center"/>
    </xf>
    <xf numFmtId="175" fontId="7" fillId="12" borderId="9" xfId="1" applyNumberFormat="1" applyFont="1" applyFill="1" applyBorder="1">
      <alignment vertical="center"/>
    </xf>
    <xf numFmtId="175" fontId="7" fillId="2" borderId="0" xfId="1" applyNumberFormat="1" applyFont="1" applyFill="1" applyBorder="1">
      <alignment vertical="center"/>
    </xf>
    <xf numFmtId="175" fontId="7" fillId="14" borderId="0" xfId="1" applyNumberFormat="1" applyFont="1" applyFill="1" applyBorder="1">
      <alignment vertical="center"/>
    </xf>
    <xf numFmtId="175" fontId="7" fillId="32" borderId="0" xfId="1" applyNumberFormat="1" applyFont="1" applyFill="1" applyBorder="1">
      <alignment vertical="center"/>
    </xf>
    <xf numFmtId="177" fontId="7" fillId="13" borderId="9" xfId="1" applyNumberFormat="1" applyFont="1" applyFill="1" applyBorder="1">
      <alignment vertical="center"/>
    </xf>
    <xf numFmtId="177" fontId="7" fillId="22" borderId="0" xfId="1" applyNumberFormat="1" applyFont="1" applyFill="1" applyBorder="1">
      <alignment vertical="center"/>
    </xf>
    <xf numFmtId="177" fontId="7" fillId="22" borderId="9" xfId="1" applyNumberFormat="1" applyFont="1" applyFill="1" applyBorder="1">
      <alignment vertical="center"/>
    </xf>
    <xf numFmtId="177" fontId="7" fillId="10" borderId="0" xfId="1" applyNumberFormat="1" applyFont="1" applyFill="1" applyBorder="1">
      <alignment vertical="center"/>
    </xf>
    <xf numFmtId="177" fontId="7" fillId="10" borderId="9" xfId="1" applyNumberFormat="1" applyFont="1" applyFill="1" applyBorder="1">
      <alignment vertical="center"/>
    </xf>
    <xf numFmtId="177" fontId="7" fillId="9" borderId="0" xfId="1" applyNumberFormat="1" applyFont="1" applyFill="1" applyBorder="1">
      <alignment vertical="center"/>
    </xf>
    <xf numFmtId="177" fontId="7" fillId="9" borderId="9" xfId="1" applyNumberFormat="1" applyFont="1" applyFill="1" applyBorder="1">
      <alignment vertical="center"/>
    </xf>
    <xf numFmtId="177" fontId="7" fillId="8" borderId="0" xfId="1" applyNumberFormat="1" applyFont="1" applyFill="1" applyBorder="1">
      <alignment vertical="center"/>
    </xf>
    <xf numFmtId="177" fontId="7" fillId="8" borderId="9" xfId="1" applyNumberFormat="1" applyFont="1" applyFill="1" applyBorder="1">
      <alignment vertical="center"/>
    </xf>
    <xf numFmtId="177" fontId="7" fillId="12" borderId="0" xfId="1" applyNumberFormat="1" applyFont="1" applyFill="1" applyBorder="1">
      <alignment vertical="center"/>
    </xf>
    <xf numFmtId="177" fontId="7" fillId="12" borderId="9" xfId="1" applyNumberFormat="1" applyFont="1" applyFill="1" applyBorder="1">
      <alignment vertical="center"/>
    </xf>
    <xf numFmtId="177" fontId="7" fillId="2" borderId="0" xfId="1" applyNumberFormat="1" applyFont="1" applyFill="1" applyBorder="1">
      <alignment vertical="center"/>
    </xf>
    <xf numFmtId="177" fontId="7" fillId="14" borderId="0" xfId="1" applyNumberFormat="1" applyFont="1" applyFill="1" applyBorder="1">
      <alignment vertical="center"/>
    </xf>
    <xf numFmtId="177" fontId="7" fillId="13" borderId="58" xfId="1" applyNumberFormat="1" applyFont="1" applyFill="1" applyBorder="1">
      <alignment vertical="center"/>
    </xf>
    <xf numFmtId="177" fontId="7" fillId="13" borderId="59" xfId="1" applyNumberFormat="1" applyFont="1" applyFill="1" applyBorder="1">
      <alignment vertical="center"/>
    </xf>
    <xf numFmtId="177" fontId="7" fillId="22" borderId="58" xfId="1" applyNumberFormat="1" applyFont="1" applyFill="1" applyBorder="1">
      <alignment vertical="center"/>
    </xf>
    <xf numFmtId="177" fontId="7" fillId="22" borderId="59" xfId="1" applyNumberFormat="1" applyFont="1" applyFill="1" applyBorder="1">
      <alignment vertical="center"/>
    </xf>
    <xf numFmtId="177" fontId="7" fillId="10" borderId="58" xfId="1" applyNumberFormat="1" applyFont="1" applyFill="1" applyBorder="1">
      <alignment vertical="center"/>
    </xf>
    <xf numFmtId="177" fontId="7" fillId="10" borderId="59" xfId="1" applyNumberFormat="1" applyFont="1" applyFill="1" applyBorder="1">
      <alignment vertical="center"/>
    </xf>
    <xf numFmtId="177" fontId="7" fillId="9" borderId="58" xfId="1" applyNumberFormat="1" applyFont="1" applyFill="1" applyBorder="1">
      <alignment vertical="center"/>
    </xf>
    <xf numFmtId="177" fontId="7" fillId="9" borderId="59" xfId="1" applyNumberFormat="1" applyFont="1" applyFill="1" applyBorder="1">
      <alignment vertical="center"/>
    </xf>
    <xf numFmtId="177" fontId="7" fillId="16" borderId="59" xfId="1" applyNumberFormat="1" applyFont="1" applyFill="1" applyBorder="1">
      <alignment vertical="center"/>
    </xf>
    <xf numFmtId="177" fontId="7" fillId="8" borderId="58" xfId="1" applyNumberFormat="1" applyFont="1" applyFill="1" applyBorder="1">
      <alignment vertical="center"/>
    </xf>
    <xf numFmtId="177" fontId="7" fillId="8" borderId="59" xfId="1" applyNumberFormat="1" applyFont="1" applyFill="1" applyBorder="1">
      <alignment vertical="center"/>
    </xf>
    <xf numFmtId="177" fontId="7" fillId="12" borderId="58" xfId="1" applyNumberFormat="1" applyFont="1" applyFill="1" applyBorder="1">
      <alignment vertical="center"/>
    </xf>
    <xf numFmtId="177" fontId="7" fillId="12" borderId="59" xfId="1" applyNumberFormat="1" applyFont="1" applyFill="1" applyBorder="1">
      <alignment vertical="center"/>
    </xf>
    <xf numFmtId="177" fontId="7" fillId="2" borderId="58" xfId="1" applyNumberFormat="1" applyFont="1" applyFill="1" applyBorder="1">
      <alignment vertical="center"/>
    </xf>
    <xf numFmtId="177" fontId="7" fillId="14" borderId="58" xfId="1" applyNumberFormat="1" applyFont="1" applyFill="1" applyBorder="1">
      <alignment vertical="center"/>
    </xf>
    <xf numFmtId="177" fontId="7" fillId="32" borderId="58" xfId="1" applyNumberFormat="1" applyFont="1" applyFill="1" applyBorder="1">
      <alignment vertical="center"/>
    </xf>
    <xf numFmtId="177" fontId="7" fillId="14" borderId="7" xfId="1" applyNumberFormat="1" applyFont="1" applyFill="1" applyBorder="1">
      <alignment vertical="center"/>
    </xf>
    <xf numFmtId="169" fontId="9" fillId="7" borderId="1" xfId="9" applyNumberFormat="1" applyFill="1" applyBorder="1" applyAlignment="1">
      <alignment horizontal="left" vertical="center" wrapText="1" shrinkToFit="1"/>
    </xf>
    <xf numFmtId="170" fontId="9" fillId="7" borderId="1" xfId="4" applyNumberFormat="1" applyFill="1" applyBorder="1" applyAlignment="1">
      <alignment horizontal="center" vertical="center"/>
    </xf>
    <xf numFmtId="0" fontId="9" fillId="7" borderId="1" xfId="4" applyFill="1" applyBorder="1" applyAlignment="1">
      <alignment horizontal="center" vertical="center" shrinkToFit="1"/>
    </xf>
    <xf numFmtId="169" fontId="9" fillId="17" borderId="1" xfId="9" applyNumberFormat="1" applyFill="1" applyBorder="1" applyAlignment="1">
      <alignment horizontal="center" vertical="center"/>
    </xf>
    <xf numFmtId="169" fontId="9" fillId="12" borderId="1" xfId="9" applyNumberFormat="1" applyFill="1" applyBorder="1" applyAlignment="1">
      <alignment horizontal="center" vertical="center"/>
    </xf>
    <xf numFmtId="0" fontId="35" fillId="5" borderId="44" xfId="5" applyFont="1" applyFill="1" applyBorder="1" applyAlignment="1">
      <alignment horizontal="center" vertical="center"/>
    </xf>
    <xf numFmtId="0" fontId="7" fillId="33" borderId="2" xfId="0" applyFont="1" applyFill="1" applyBorder="1" applyAlignment="1">
      <alignment horizontal="center" vertical="center"/>
    </xf>
    <xf numFmtId="0" fontId="7" fillId="33" borderId="8" xfId="0" applyFont="1" applyFill="1" applyBorder="1" applyAlignment="1">
      <alignment horizontal="center" vertical="center"/>
    </xf>
    <xf numFmtId="174" fontId="7" fillId="8" borderId="0" xfId="1" applyNumberFormat="1" applyFont="1" applyFill="1" applyBorder="1">
      <alignment vertical="center"/>
    </xf>
    <xf numFmtId="0" fontId="0" fillId="34" borderId="0" xfId="0" applyFill="1" applyAlignment="1">
      <alignment horizontal="center" vertical="center"/>
    </xf>
    <xf numFmtId="41" fontId="7" fillId="12" borderId="0" xfId="1" applyFont="1" applyFill="1" applyAlignment="1">
      <alignment horizontal="right" vertical="center"/>
    </xf>
    <xf numFmtId="0" fontId="4" fillId="7" borderId="1" xfId="5" applyFont="1" applyFill="1" applyBorder="1" applyAlignment="1">
      <alignment horizontal="center" vertical="center" wrapText="1"/>
    </xf>
    <xf numFmtId="0" fontId="23" fillId="0" borderId="0" xfId="0" applyFont="1" applyAlignment="1">
      <alignment horizontal="center" vertical="center"/>
    </xf>
    <xf numFmtId="0" fontId="4" fillId="7" borderId="45" xfId="5" applyFont="1" applyFill="1" applyBorder="1" applyAlignment="1">
      <alignment horizontal="center" vertical="center" wrapText="1"/>
    </xf>
    <xf numFmtId="0" fontId="0" fillId="32" borderId="0" xfId="0" applyFill="1" applyAlignment="1">
      <alignment horizontal="center" vertical="center"/>
    </xf>
    <xf numFmtId="0" fontId="6" fillId="32" borderId="0" xfId="0" applyFont="1" applyFill="1" applyAlignment="1">
      <alignment horizontal="center" vertical="center"/>
    </xf>
    <xf numFmtId="41" fontId="6" fillId="32" borderId="0" xfId="1" applyFont="1" applyFill="1" applyBorder="1">
      <alignment vertical="center"/>
    </xf>
    <xf numFmtId="164" fontId="6" fillId="32" borderId="0" xfId="0" applyNumberFormat="1" applyFont="1" applyFill="1">
      <alignment vertical="center"/>
    </xf>
    <xf numFmtId="166" fontId="7" fillId="32" borderId="0" xfId="0" applyNumberFormat="1" applyFont="1" applyFill="1" applyAlignment="1">
      <alignment horizontal="right" vertical="center"/>
    </xf>
    <xf numFmtId="166" fontId="7" fillId="32" borderId="0" xfId="0" applyNumberFormat="1" applyFont="1" applyFill="1">
      <alignment vertical="center"/>
    </xf>
    <xf numFmtId="0" fontId="36" fillId="19" borderId="0" xfId="0" applyFont="1" applyFill="1" applyAlignment="1">
      <alignment horizontal="center" vertical="center" wrapText="1"/>
    </xf>
    <xf numFmtId="41" fontId="6" fillId="0" borderId="0" xfId="1" applyFont="1" applyBorder="1">
      <alignment vertical="center"/>
    </xf>
    <xf numFmtId="167" fontId="6" fillId="0" borderId="0" xfId="1" applyNumberFormat="1" applyFont="1" applyBorder="1">
      <alignment vertical="center"/>
    </xf>
    <xf numFmtId="9" fontId="0" fillId="0" borderId="0" xfId="2" applyFont="1" applyBorder="1">
      <alignment vertical="center"/>
    </xf>
    <xf numFmtId="177" fontId="7" fillId="32" borderId="7" xfId="1" applyNumberFormat="1" applyFont="1" applyFill="1" applyBorder="1">
      <alignment vertical="center"/>
    </xf>
    <xf numFmtId="0" fontId="7" fillId="27" borderId="0" xfId="0" applyFont="1" applyFill="1">
      <alignment vertical="center"/>
    </xf>
    <xf numFmtId="166" fontId="7" fillId="12" borderId="9" xfId="0" applyNumberFormat="1" applyFont="1" applyFill="1" applyBorder="1" applyAlignment="1">
      <alignment horizontal="center" vertical="center"/>
    </xf>
    <xf numFmtId="173" fontId="0" fillId="0" borderId="0" xfId="0" applyNumberFormat="1">
      <alignment vertical="center"/>
    </xf>
    <xf numFmtId="41" fontId="7" fillId="17" borderId="0" xfId="0" applyNumberFormat="1" applyFont="1" applyFill="1" applyAlignment="1">
      <alignment horizontal="center" vertical="center"/>
    </xf>
    <xf numFmtId="178" fontId="7" fillId="0" borderId="0" xfId="0" applyNumberFormat="1" applyFont="1">
      <alignment vertical="center"/>
    </xf>
    <xf numFmtId="1" fontId="7" fillId="18" borderId="0" xfId="0" applyNumberFormat="1" applyFont="1" applyFill="1" applyAlignment="1">
      <alignment horizontal="center" vertical="center"/>
    </xf>
    <xf numFmtId="0" fontId="37" fillId="8" borderId="9" xfId="0" applyFont="1" applyFill="1" applyBorder="1" applyAlignment="1">
      <alignment horizontal="center" vertical="center"/>
    </xf>
    <xf numFmtId="41" fontId="37" fillId="8" borderId="9" xfId="1" applyFont="1" applyFill="1" applyBorder="1">
      <alignment vertical="center"/>
    </xf>
    <xf numFmtId="174" fontId="38" fillId="8" borderId="9" xfId="1" applyNumberFormat="1" applyFont="1" applyFill="1" applyBorder="1">
      <alignment vertical="center"/>
    </xf>
    <xf numFmtId="0" fontId="37" fillId="32" borderId="0" xfId="0" applyFont="1" applyFill="1" applyAlignment="1">
      <alignment horizontal="center" vertical="center"/>
    </xf>
    <xf numFmtId="41" fontId="37" fillId="32" borderId="0" xfId="1" applyFont="1" applyFill="1" applyBorder="1">
      <alignment vertical="center"/>
    </xf>
    <xf numFmtId="174" fontId="38" fillId="32" borderId="0" xfId="1" applyNumberFormat="1" applyFont="1" applyFill="1" applyBorder="1">
      <alignment vertical="center"/>
    </xf>
    <xf numFmtId="174" fontId="39" fillId="13" borderId="0" xfId="1" applyNumberFormat="1" applyFont="1" applyFill="1" applyBorder="1">
      <alignment vertical="center"/>
    </xf>
    <xf numFmtId="174" fontId="39" fillId="22" borderId="0" xfId="1" applyNumberFormat="1" applyFont="1" applyFill="1" applyBorder="1">
      <alignment vertical="center"/>
    </xf>
    <xf numFmtId="174" fontId="39" fillId="22" borderId="0" xfId="0" applyNumberFormat="1" applyFont="1" applyFill="1">
      <alignment vertical="center"/>
    </xf>
    <xf numFmtId="174" fontId="38" fillId="10" borderId="0" xfId="1" applyNumberFormat="1" applyFont="1" applyFill="1" applyBorder="1">
      <alignment vertical="center"/>
    </xf>
    <xf numFmtId="0" fontId="37" fillId="10" borderId="0" xfId="0" applyFont="1" applyFill="1" applyAlignment="1">
      <alignment horizontal="center" vertical="center"/>
    </xf>
    <xf numFmtId="41" fontId="37" fillId="10" borderId="0" xfId="1" applyFont="1" applyFill="1" applyBorder="1">
      <alignment vertical="center"/>
    </xf>
    <xf numFmtId="174" fontId="39" fillId="10" borderId="0" xfId="1" applyNumberFormat="1" applyFont="1" applyFill="1" applyBorder="1">
      <alignment vertical="center"/>
    </xf>
    <xf numFmtId="167" fontId="39" fillId="10" borderId="0" xfId="1" applyNumberFormat="1" applyFont="1" applyFill="1">
      <alignment vertical="center"/>
    </xf>
    <xf numFmtId="167" fontId="39" fillId="10" borderId="0" xfId="1" applyNumberFormat="1" applyFont="1" applyFill="1" applyBorder="1">
      <alignment vertical="center"/>
    </xf>
    <xf numFmtId="174" fontId="39" fillId="10" borderId="9" xfId="1" applyNumberFormat="1" applyFont="1" applyFill="1" applyBorder="1">
      <alignment vertical="center"/>
    </xf>
    <xf numFmtId="174" fontId="39" fillId="16" borderId="9" xfId="1" applyNumberFormat="1" applyFont="1" applyFill="1" applyBorder="1">
      <alignment vertical="center"/>
    </xf>
    <xf numFmtId="174" fontId="39" fillId="12" borderId="0" xfId="1" applyNumberFormat="1" applyFont="1" applyFill="1" applyBorder="1">
      <alignment vertical="center"/>
    </xf>
    <xf numFmtId="174" fontId="38" fillId="14" borderId="0" xfId="1" applyNumberFormat="1" applyFont="1" applyFill="1" applyBorder="1">
      <alignment vertical="center"/>
    </xf>
    <xf numFmtId="3" fontId="7" fillId="0" borderId="0" xfId="0" applyNumberFormat="1" applyFont="1">
      <alignment vertical="center"/>
    </xf>
    <xf numFmtId="179" fontId="6" fillId="32" borderId="0" xfId="1" applyNumberFormat="1" applyFont="1" applyFill="1" applyBorder="1">
      <alignment vertical="center"/>
    </xf>
    <xf numFmtId="177" fontId="7" fillId="5" borderId="0" xfId="1" applyNumberFormat="1" applyFont="1" applyFill="1" applyBorder="1">
      <alignment vertical="center"/>
    </xf>
    <xf numFmtId="177" fontId="7" fillId="5" borderId="9" xfId="1" applyNumberFormat="1" applyFont="1" applyFill="1" applyBorder="1">
      <alignment vertical="center"/>
    </xf>
    <xf numFmtId="2" fontId="7" fillId="18" borderId="0" xfId="0" applyNumberFormat="1" applyFont="1" applyFill="1" applyAlignment="1">
      <alignment horizontal="center" vertical="center"/>
    </xf>
    <xf numFmtId="168" fontId="7" fillId="21" borderId="0" xfId="2" applyNumberFormat="1" applyFont="1" applyFill="1" applyBorder="1">
      <alignment vertical="center"/>
    </xf>
    <xf numFmtId="10" fontId="4" fillId="0" borderId="0" xfId="0" applyNumberFormat="1" applyFont="1">
      <alignment vertical="center"/>
    </xf>
    <xf numFmtId="0" fontId="0" fillId="0" borderId="9" xfId="0" applyBorder="1" applyAlignment="1">
      <alignment horizontal="center" vertical="center"/>
    </xf>
    <xf numFmtId="171" fontId="33" fillId="0" borderId="0" xfId="1" applyNumberFormat="1" applyFont="1" applyBorder="1" applyAlignment="1">
      <alignment horizontal="center" vertical="center"/>
    </xf>
    <xf numFmtId="0" fontId="29" fillId="4" borderId="60" xfId="0" applyFont="1" applyFill="1" applyBorder="1" applyAlignment="1">
      <alignment horizontal="center" vertical="center" wrapText="1"/>
    </xf>
    <xf numFmtId="0" fontId="29" fillId="4" borderId="60" xfId="0" applyFont="1" applyFill="1" applyBorder="1" applyAlignment="1">
      <alignment horizontal="center" vertical="center"/>
    </xf>
    <xf numFmtId="171" fontId="33" fillId="13" borderId="60" xfId="1" applyNumberFormat="1" applyFont="1" applyFill="1" applyBorder="1" applyAlignment="1">
      <alignment horizontal="center" vertical="center"/>
    </xf>
    <xf numFmtId="10" fontId="4" fillId="13" borderId="60" xfId="0" applyNumberFormat="1" applyFont="1" applyFill="1" applyBorder="1">
      <alignment vertical="center"/>
    </xf>
    <xf numFmtId="171" fontId="29" fillId="4" borderId="60" xfId="1" applyNumberFormat="1" applyFont="1" applyFill="1" applyBorder="1" applyAlignment="1">
      <alignment horizontal="center" vertical="center"/>
    </xf>
    <xf numFmtId="0" fontId="29" fillId="6" borderId="60" xfId="0" applyFont="1" applyFill="1" applyBorder="1" applyAlignment="1">
      <alignment horizontal="center" vertical="center"/>
    </xf>
    <xf numFmtId="0" fontId="29" fillId="6" borderId="60" xfId="0" applyFont="1" applyFill="1" applyBorder="1" applyAlignment="1">
      <alignment horizontal="center" vertical="center" wrapText="1"/>
    </xf>
    <xf numFmtId="171" fontId="6" fillId="0" borderId="0" xfId="1" applyNumberFormat="1" applyFont="1" applyFill="1" applyBorder="1">
      <alignment vertical="center"/>
    </xf>
    <xf numFmtId="171" fontId="6" fillId="0" borderId="0" xfId="1" applyNumberFormat="1" applyFont="1" applyFill="1">
      <alignment vertical="center"/>
    </xf>
    <xf numFmtId="171" fontId="7" fillId="0" borderId="0" xfId="1" applyNumberFormat="1" applyFont="1" applyFill="1">
      <alignment vertical="center"/>
    </xf>
    <xf numFmtId="41" fontId="7" fillId="21" borderId="0" xfId="1" applyFont="1" applyFill="1" applyBorder="1" applyAlignment="1">
      <alignment horizontal="right" vertical="center"/>
    </xf>
    <xf numFmtId="172" fontId="7" fillId="21" borderId="0" xfId="1" applyNumberFormat="1" applyFont="1" applyFill="1" applyBorder="1">
      <alignment vertical="center"/>
    </xf>
    <xf numFmtId="41" fontId="7" fillId="0" borderId="0" xfId="1" applyFont="1" applyFill="1" applyBorder="1">
      <alignment vertical="center"/>
    </xf>
    <xf numFmtId="0" fontId="41" fillId="0" borderId="0" xfId="0" applyFont="1" applyAlignment="1">
      <alignment horizontal="left" vertical="center"/>
    </xf>
    <xf numFmtId="0" fontId="6" fillId="0" borderId="0" xfId="0" applyFont="1">
      <alignment vertical="center"/>
    </xf>
    <xf numFmtId="9" fontId="6" fillId="0" borderId="0" xfId="2" applyFont="1">
      <alignment vertical="center"/>
    </xf>
    <xf numFmtId="166" fontId="6" fillId="0" borderId="0" xfId="0" applyNumberFormat="1" applyFont="1">
      <alignment vertical="center"/>
    </xf>
    <xf numFmtId="167" fontId="6" fillId="5" borderId="0" xfId="0" applyNumberFormat="1" applyFont="1" applyFill="1">
      <alignment vertical="center"/>
    </xf>
    <xf numFmtId="181" fontId="6" fillId="5" borderId="0" xfId="7" applyNumberFormat="1" applyFont="1" applyFill="1">
      <alignment vertical="center"/>
    </xf>
    <xf numFmtId="170" fontId="7" fillId="23" borderId="0" xfId="2" applyNumberFormat="1" applyFont="1" applyFill="1" applyBorder="1" applyAlignment="1">
      <alignment horizontal="right" vertical="center"/>
    </xf>
    <xf numFmtId="41" fontId="7" fillId="21" borderId="0" xfId="1" applyFont="1" applyFill="1" applyBorder="1">
      <alignment vertical="center"/>
    </xf>
    <xf numFmtId="41" fontId="29" fillId="32" borderId="61" xfId="1" applyFont="1" applyFill="1" applyBorder="1" applyAlignment="1">
      <alignment horizontal="center" vertical="center"/>
    </xf>
    <xf numFmtId="0" fontId="0" fillId="0" borderId="62" xfId="0" applyBorder="1">
      <alignment vertical="center"/>
    </xf>
    <xf numFmtId="0" fontId="6" fillId="29" borderId="68" xfId="5" applyFont="1" applyFill="1" applyBorder="1" applyAlignment="1">
      <alignment horizontal="center" vertical="center"/>
    </xf>
    <xf numFmtId="171" fontId="7" fillId="0" borderId="0" xfId="1" applyNumberFormat="1" applyFont="1" applyBorder="1" applyAlignment="1">
      <alignment horizontal="center" vertical="center"/>
    </xf>
    <xf numFmtId="171" fontId="7" fillId="0" borderId="0" xfId="1" applyNumberFormat="1" applyFont="1" applyBorder="1">
      <alignment vertical="center"/>
    </xf>
    <xf numFmtId="41" fontId="7" fillId="0" borderId="62" xfId="1" applyFont="1" applyFill="1" applyBorder="1">
      <alignment vertical="center"/>
    </xf>
    <xf numFmtId="0" fontId="7" fillId="29" borderId="68" xfId="5" applyFont="1" applyFill="1" applyBorder="1" applyAlignment="1">
      <alignment horizontal="center" vertical="center"/>
    </xf>
    <xf numFmtId="0" fontId="7" fillId="26" borderId="68" xfId="0" applyFont="1" applyFill="1" applyBorder="1" applyAlignment="1">
      <alignment horizontal="center" vertical="center"/>
    </xf>
    <xf numFmtId="181" fontId="7" fillId="5" borderId="0" xfId="1" applyNumberFormat="1" applyFont="1" applyFill="1" applyBorder="1">
      <alignment vertical="center"/>
    </xf>
    <xf numFmtId="0" fontId="7" fillId="9" borderId="69" xfId="0" applyFont="1" applyFill="1" applyBorder="1" applyAlignment="1">
      <alignment horizontal="center" vertical="center"/>
    </xf>
    <xf numFmtId="0" fontId="7" fillId="0" borderId="70" xfId="0" applyFont="1" applyBorder="1" applyAlignment="1">
      <alignment horizontal="center" vertical="center"/>
    </xf>
    <xf numFmtId="181" fontId="7" fillId="5" borderId="70" xfId="1" applyNumberFormat="1" applyFont="1" applyFill="1" applyBorder="1">
      <alignment vertical="center"/>
    </xf>
    <xf numFmtId="171" fontId="7" fillId="0" borderId="70" xfId="1" applyNumberFormat="1" applyFont="1" applyBorder="1" applyAlignment="1">
      <alignment horizontal="center" vertical="center"/>
    </xf>
    <xf numFmtId="171" fontId="7" fillId="0" borderId="70" xfId="1" applyNumberFormat="1" applyFont="1" applyBorder="1">
      <alignment vertical="center"/>
    </xf>
    <xf numFmtId="171" fontId="6" fillId="0" borderId="70" xfId="1" applyNumberFormat="1" applyFont="1" applyFill="1" applyBorder="1">
      <alignment vertical="center"/>
    </xf>
    <xf numFmtId="41" fontId="7" fillId="21" borderId="70" xfId="1" applyFont="1" applyFill="1" applyBorder="1" applyAlignment="1">
      <alignment horizontal="right" vertical="center"/>
    </xf>
    <xf numFmtId="41" fontId="7" fillId="21" borderId="70" xfId="1" applyFont="1" applyFill="1" applyBorder="1">
      <alignment vertical="center"/>
    </xf>
    <xf numFmtId="41" fontId="7" fillId="0" borderId="70" xfId="1" applyFont="1" applyFill="1" applyBorder="1">
      <alignment vertical="center"/>
    </xf>
    <xf numFmtId="41" fontId="7" fillId="0" borderId="71" xfId="1" applyFont="1" applyFill="1" applyBorder="1">
      <alignment vertical="center"/>
    </xf>
    <xf numFmtId="171" fontId="7" fillId="0" borderId="0" xfId="1" applyNumberFormat="1" applyFont="1" applyFill="1" applyBorder="1" applyAlignment="1">
      <alignment horizontal="center" vertical="center"/>
    </xf>
    <xf numFmtId="171" fontId="7" fillId="0" borderId="70" xfId="1" applyNumberFormat="1" applyFont="1" applyFill="1" applyBorder="1" applyAlignment="1">
      <alignment horizontal="center" vertical="center"/>
    </xf>
    <xf numFmtId="0" fontId="7" fillId="35" borderId="68" xfId="0" applyFont="1" applyFill="1" applyBorder="1" applyAlignment="1">
      <alignment horizontal="center" vertical="center"/>
    </xf>
    <xf numFmtId="0" fontId="7" fillId="35" borderId="69" xfId="0" applyFont="1" applyFill="1" applyBorder="1" applyAlignment="1">
      <alignment horizontal="center" vertical="center"/>
    </xf>
    <xf numFmtId="0" fontId="7" fillId="26" borderId="68" xfId="5" applyFont="1" applyFill="1" applyBorder="1" applyAlignment="1">
      <alignment horizontal="center" vertical="center"/>
    </xf>
    <xf numFmtId="171" fontId="6" fillId="17" borderId="0" xfId="1" applyNumberFormat="1" applyFont="1" applyFill="1">
      <alignment vertical="center"/>
    </xf>
    <xf numFmtId="43" fontId="7" fillId="17" borderId="0" xfId="1" applyNumberFormat="1" applyFont="1" applyFill="1">
      <alignment vertical="center"/>
    </xf>
    <xf numFmtId="41" fontId="7" fillId="21" borderId="9" xfId="1" applyFont="1" applyFill="1" applyBorder="1" applyAlignment="1">
      <alignment horizontal="right" vertical="center"/>
    </xf>
    <xf numFmtId="41" fontId="7" fillId="21" borderId="9" xfId="1" applyFont="1" applyFill="1" applyBorder="1">
      <alignment vertical="center"/>
    </xf>
    <xf numFmtId="41" fontId="7" fillId="0" borderId="9" xfId="1" applyFont="1" applyFill="1" applyBorder="1">
      <alignment vertical="center"/>
    </xf>
    <xf numFmtId="41" fontId="7" fillId="0" borderId="72" xfId="1" applyFont="1" applyFill="1" applyBorder="1">
      <alignment vertical="center"/>
    </xf>
    <xf numFmtId="0" fontId="7" fillId="35" borderId="73" xfId="0" applyFont="1" applyFill="1" applyBorder="1" applyAlignment="1">
      <alignment horizontal="center" vertical="center"/>
    </xf>
    <xf numFmtId="181" fontId="7" fillId="5" borderId="9" xfId="1" applyNumberFormat="1" applyFont="1" applyFill="1" applyBorder="1">
      <alignment vertical="center"/>
    </xf>
    <xf numFmtId="171" fontId="7" fillId="0" borderId="9" xfId="1" applyNumberFormat="1" applyFont="1" applyBorder="1" applyAlignment="1">
      <alignment horizontal="center" vertical="center"/>
    </xf>
    <xf numFmtId="171" fontId="7" fillId="0" borderId="9" xfId="1" applyNumberFormat="1" applyFont="1" applyBorder="1">
      <alignment vertical="center"/>
    </xf>
    <xf numFmtId="171" fontId="6" fillId="0" borderId="9" xfId="1" applyNumberFormat="1" applyFont="1" applyFill="1" applyBorder="1">
      <alignment vertical="center"/>
    </xf>
    <xf numFmtId="0" fontId="29" fillId="4" borderId="1" xfId="0" applyFont="1" applyFill="1" applyBorder="1" applyAlignment="1">
      <alignment horizontal="center" vertical="center"/>
    </xf>
    <xf numFmtId="0" fontId="29" fillId="6" borderId="1" xfId="0" applyFont="1" applyFill="1" applyBorder="1" applyAlignment="1">
      <alignment horizontal="center" vertical="center"/>
    </xf>
    <xf numFmtId="0" fontId="29" fillId="6" borderId="1" xfId="0" applyFont="1" applyFill="1" applyBorder="1" applyAlignment="1">
      <alignment horizontal="center" vertical="center" wrapText="1"/>
    </xf>
    <xf numFmtId="0" fontId="0" fillId="29" borderId="1" xfId="0" applyFill="1" applyBorder="1">
      <alignment vertical="center"/>
    </xf>
    <xf numFmtId="0" fontId="0" fillId="30" borderId="1" xfId="0" applyFill="1" applyBorder="1">
      <alignment vertical="center"/>
    </xf>
    <xf numFmtId="0" fontId="0" fillId="23" borderId="1" xfId="0" applyFill="1" applyBorder="1">
      <alignment vertical="center"/>
    </xf>
    <xf numFmtId="0" fontId="7" fillId="23" borderId="1" xfId="0" applyFont="1" applyFill="1" applyBorder="1" applyAlignment="1">
      <alignment horizontal="center" vertical="center"/>
    </xf>
    <xf numFmtId="0" fontId="7" fillId="29" borderId="1" xfId="0" applyFont="1" applyFill="1" applyBorder="1" applyAlignment="1">
      <alignment horizontal="center" vertical="center"/>
    </xf>
    <xf numFmtId="0" fontId="6" fillId="0" borderId="1" xfId="0" applyFont="1" applyBorder="1">
      <alignment vertical="center"/>
    </xf>
    <xf numFmtId="182" fontId="7" fillId="29" borderId="1" xfId="1" applyNumberFormat="1" applyFont="1" applyFill="1" applyBorder="1">
      <alignment vertical="center"/>
    </xf>
    <xf numFmtId="0" fontId="7" fillId="31" borderId="1" xfId="0" applyFont="1" applyFill="1" applyBorder="1" applyAlignment="1">
      <alignment horizontal="center" vertical="center"/>
    </xf>
    <xf numFmtId="182" fontId="7" fillId="31" borderId="1" xfId="1" applyNumberFormat="1" applyFont="1" applyFill="1" applyBorder="1">
      <alignment vertical="center"/>
    </xf>
    <xf numFmtId="0" fontId="7" fillId="47" borderId="1" xfId="0" applyFont="1" applyFill="1" applyBorder="1" applyAlignment="1">
      <alignment horizontal="center" vertical="center"/>
    </xf>
    <xf numFmtId="182" fontId="7" fillId="47" borderId="1" xfId="1" applyNumberFormat="1" applyFont="1" applyFill="1" applyBorder="1">
      <alignment vertical="center"/>
    </xf>
    <xf numFmtId="0" fontId="7" fillId="30" borderId="1" xfId="0" applyFont="1" applyFill="1" applyBorder="1" applyAlignment="1">
      <alignment horizontal="center" vertical="center"/>
    </xf>
    <xf numFmtId="182" fontId="7" fillId="30" borderId="1" xfId="1" applyNumberFormat="1" applyFont="1" applyFill="1" applyBorder="1">
      <alignment vertical="center"/>
    </xf>
    <xf numFmtId="0" fontId="7" fillId="22" borderId="1" xfId="0" applyFont="1" applyFill="1" applyBorder="1" applyAlignment="1">
      <alignment horizontal="center" vertical="center"/>
    </xf>
    <xf numFmtId="182" fontId="7" fillId="22" borderId="1" xfId="1" applyNumberFormat="1" applyFont="1" applyFill="1" applyBorder="1">
      <alignment vertical="center"/>
    </xf>
    <xf numFmtId="0" fontId="7" fillId="13" borderId="1" xfId="0" applyFont="1" applyFill="1" applyBorder="1" applyAlignment="1">
      <alignment horizontal="center" vertical="center"/>
    </xf>
    <xf numFmtId="182" fontId="7" fillId="23" borderId="1" xfId="1" applyNumberFormat="1" applyFont="1" applyFill="1" applyBorder="1">
      <alignment vertical="center"/>
    </xf>
    <xf numFmtId="0" fontId="7" fillId="9" borderId="1" xfId="0" applyFont="1" applyFill="1" applyBorder="1" applyAlignment="1">
      <alignment horizontal="center" vertical="center"/>
    </xf>
    <xf numFmtId="182" fontId="7" fillId="9" borderId="1" xfId="1" applyNumberFormat="1" applyFont="1" applyFill="1" applyBorder="1">
      <alignment vertical="center"/>
    </xf>
    <xf numFmtId="0" fontId="7" fillId="21" borderId="1" xfId="0" applyFont="1" applyFill="1" applyBorder="1" applyAlignment="1">
      <alignment horizontal="center" vertical="center"/>
    </xf>
    <xf numFmtId="182" fontId="7" fillId="21" borderId="1" xfId="1" applyNumberFormat="1" applyFont="1" applyFill="1" applyBorder="1">
      <alignment vertical="center"/>
    </xf>
    <xf numFmtId="0" fontId="7" fillId="15" borderId="1" xfId="0" applyFont="1" applyFill="1" applyBorder="1" applyAlignment="1">
      <alignment horizontal="center" vertical="center"/>
    </xf>
    <xf numFmtId="182" fontId="7" fillId="15" borderId="1" xfId="1" applyNumberFormat="1" applyFont="1" applyFill="1" applyBorder="1">
      <alignment vertical="center"/>
    </xf>
    <xf numFmtId="41" fontId="0" fillId="21" borderId="0" xfId="1" applyFont="1" applyFill="1">
      <alignment vertical="center"/>
    </xf>
    <xf numFmtId="169" fontId="44" fillId="0" borderId="0" xfId="1" applyNumberFormat="1" applyFont="1">
      <alignment vertical="center"/>
    </xf>
    <xf numFmtId="169" fontId="45" fillId="0" borderId="0" xfId="1" applyNumberFormat="1" applyFont="1" applyAlignment="1">
      <alignment horizontal="center" vertical="center"/>
    </xf>
    <xf numFmtId="169" fontId="45" fillId="0" borderId="0" xfId="1" applyNumberFormat="1" applyFont="1" applyAlignment="1">
      <alignment horizontal="right" vertical="center"/>
    </xf>
    <xf numFmtId="169" fontId="45" fillId="0" borderId="0" xfId="1" applyNumberFormat="1" applyFont="1">
      <alignment vertical="center"/>
    </xf>
    <xf numFmtId="169" fontId="46" fillId="36" borderId="1" xfId="1" applyNumberFormat="1" applyFont="1" applyFill="1" applyBorder="1" applyAlignment="1">
      <alignment horizontal="center" vertical="center"/>
    </xf>
    <xf numFmtId="169" fontId="46" fillId="50" borderId="1" xfId="1" applyNumberFormat="1" applyFont="1" applyFill="1" applyBorder="1" applyAlignment="1">
      <alignment horizontal="center" vertical="center"/>
    </xf>
    <xf numFmtId="169" fontId="46" fillId="49" borderId="1" xfId="1" applyNumberFormat="1" applyFont="1" applyFill="1" applyBorder="1" applyAlignment="1">
      <alignment horizontal="center" vertical="center"/>
    </xf>
    <xf numFmtId="169" fontId="42" fillId="37" borderId="1" xfId="1" applyNumberFormat="1" applyFont="1" applyFill="1" applyBorder="1" applyAlignment="1">
      <alignment horizontal="center" vertical="center"/>
    </xf>
    <xf numFmtId="169" fontId="42" fillId="0" borderId="1" xfId="1" applyNumberFormat="1" applyFont="1" applyBorder="1" applyAlignment="1">
      <alignment horizontal="center" vertical="center"/>
    </xf>
    <xf numFmtId="169" fontId="42" fillId="0" borderId="1" xfId="1" applyNumberFormat="1" applyFont="1" applyBorder="1" applyAlignment="1">
      <alignment horizontal="right" vertical="center"/>
    </xf>
    <xf numFmtId="169" fontId="42" fillId="0" borderId="1" xfId="1" applyNumberFormat="1" applyFont="1" applyBorder="1">
      <alignment vertical="center"/>
    </xf>
    <xf numFmtId="169" fontId="42" fillId="0" borderId="1" xfId="1" applyNumberFormat="1" applyFont="1" applyFill="1" applyBorder="1">
      <alignment vertical="center"/>
    </xf>
    <xf numFmtId="169" fontId="42" fillId="38" borderId="1" xfId="1" applyNumberFormat="1" applyFont="1" applyFill="1" applyBorder="1">
      <alignment vertical="center"/>
    </xf>
    <xf numFmtId="169" fontId="42" fillId="39" borderId="1" xfId="1" applyNumberFormat="1" applyFont="1" applyFill="1" applyBorder="1">
      <alignment vertical="center"/>
    </xf>
    <xf numFmtId="169" fontId="42" fillId="38" borderId="1" xfId="1" applyNumberFormat="1" applyFont="1" applyFill="1" applyBorder="1" applyAlignment="1">
      <alignment horizontal="center" vertical="center"/>
    </xf>
    <xf numFmtId="169" fontId="42" fillId="40" borderId="1" xfId="1" applyNumberFormat="1" applyFont="1" applyFill="1" applyBorder="1">
      <alignment vertical="center"/>
    </xf>
    <xf numFmtId="169" fontId="42" fillId="41" borderId="1" xfId="1" applyNumberFormat="1" applyFont="1" applyFill="1" applyBorder="1">
      <alignment vertical="center"/>
    </xf>
    <xf numFmtId="169" fontId="42" fillId="42" borderId="1" xfId="1" applyNumberFormat="1" applyFont="1" applyFill="1" applyBorder="1">
      <alignment vertical="center"/>
    </xf>
    <xf numFmtId="169" fontId="42" fillId="43" borderId="1" xfId="1" applyNumberFormat="1" applyFont="1" applyFill="1" applyBorder="1">
      <alignment vertical="center"/>
    </xf>
    <xf numFmtId="169" fontId="42" fillId="44" borderId="1" xfId="1" applyNumberFormat="1" applyFont="1" applyFill="1" applyBorder="1">
      <alignment vertical="center"/>
    </xf>
    <xf numFmtId="169" fontId="48" fillId="45" borderId="1" xfId="1" applyNumberFormat="1" applyFont="1" applyFill="1" applyBorder="1">
      <alignment vertical="center"/>
    </xf>
    <xf numFmtId="169" fontId="42" fillId="46" borderId="1" xfId="1" applyNumberFormat="1" applyFont="1" applyFill="1" applyBorder="1">
      <alignment vertical="center"/>
    </xf>
    <xf numFmtId="169" fontId="42" fillId="0" borderId="0" xfId="1" applyNumberFormat="1" applyFont="1" applyAlignment="1">
      <alignment horizontal="center" vertical="center"/>
    </xf>
    <xf numFmtId="169" fontId="42" fillId="0" borderId="0" xfId="1" applyNumberFormat="1" applyFont="1">
      <alignment vertical="center"/>
    </xf>
    <xf numFmtId="9" fontId="29" fillId="4" borderId="1" xfId="2" applyFont="1" applyFill="1" applyBorder="1">
      <alignment vertical="center"/>
    </xf>
    <xf numFmtId="166" fontId="29" fillId="4" borderId="1" xfId="0" applyNumberFormat="1" applyFont="1" applyFill="1" applyBorder="1">
      <alignment vertical="center"/>
    </xf>
    <xf numFmtId="0" fontId="30" fillId="4" borderId="1" xfId="0" applyFont="1" applyFill="1" applyBorder="1" applyAlignment="1">
      <alignment horizontal="center" vertical="center"/>
    </xf>
    <xf numFmtId="41" fontId="29" fillId="4" borderId="1" xfId="1" applyFont="1" applyFill="1" applyBorder="1" applyAlignment="1">
      <alignment horizontal="center" vertical="center"/>
    </xf>
    <xf numFmtId="167" fontId="29" fillId="4" borderId="1" xfId="1" applyNumberFormat="1" applyFont="1" applyFill="1" applyBorder="1" applyAlignment="1">
      <alignment horizontal="center" vertical="center"/>
    </xf>
    <xf numFmtId="164" fontId="29" fillId="4" borderId="1" xfId="0" applyNumberFormat="1" applyFont="1" applyFill="1" applyBorder="1" applyAlignment="1">
      <alignment horizontal="center" vertical="center"/>
    </xf>
    <xf numFmtId="9" fontId="29" fillId="4" borderId="1" xfId="2" applyFont="1" applyFill="1" applyBorder="1" applyAlignment="1">
      <alignment horizontal="center" vertical="center"/>
    </xf>
    <xf numFmtId="166" fontId="29" fillId="4" borderId="1" xfId="0" applyNumberFormat="1" applyFont="1" applyFill="1" applyBorder="1" applyAlignment="1">
      <alignment horizontal="center" vertical="center"/>
    </xf>
    <xf numFmtId="0" fontId="6" fillId="13" borderId="1" xfId="0" applyFont="1" applyFill="1" applyBorder="1" applyAlignment="1">
      <alignment horizontal="center" vertical="center"/>
    </xf>
    <xf numFmtId="41" fontId="7" fillId="13" borderId="1" xfId="1" applyFont="1" applyFill="1" applyBorder="1">
      <alignment vertical="center"/>
    </xf>
    <xf numFmtId="174" fontId="7" fillId="13" borderId="1" xfId="1" applyNumberFormat="1" applyFont="1" applyFill="1" applyBorder="1">
      <alignment vertical="center"/>
    </xf>
    <xf numFmtId="175" fontId="7" fillId="13" borderId="1" xfId="1" applyNumberFormat="1" applyFont="1" applyFill="1" applyBorder="1">
      <alignment vertical="center"/>
    </xf>
    <xf numFmtId="9" fontId="7" fillId="13" borderId="1" xfId="2" applyFont="1" applyFill="1" applyBorder="1">
      <alignment vertical="center"/>
    </xf>
    <xf numFmtId="9" fontId="7" fillId="13" borderId="1" xfId="2" applyFont="1" applyFill="1" applyBorder="1" applyAlignment="1">
      <alignment horizontal="center" vertical="center"/>
    </xf>
    <xf numFmtId="180" fontId="7" fillId="13" borderId="1" xfId="1" applyNumberFormat="1" applyFont="1" applyFill="1" applyBorder="1">
      <alignment vertical="center"/>
    </xf>
    <xf numFmtId="177" fontId="7" fillId="13" borderId="1" xfId="1" applyNumberFormat="1" applyFont="1" applyFill="1" applyBorder="1">
      <alignment vertical="center"/>
    </xf>
    <xf numFmtId="167" fontId="7" fillId="13" borderId="1" xfId="1" applyNumberFormat="1" applyFont="1" applyFill="1" applyBorder="1">
      <alignment vertical="center"/>
    </xf>
    <xf numFmtId="0" fontId="7" fillId="0" borderId="1" xfId="0" applyFont="1" applyBorder="1" applyAlignment="1">
      <alignment horizontal="center" vertical="center"/>
    </xf>
    <xf numFmtId="41" fontId="7" fillId="22" borderId="1" xfId="1" applyFont="1" applyFill="1" applyBorder="1">
      <alignment vertical="center"/>
    </xf>
    <xf numFmtId="167" fontId="7" fillId="22" borderId="1" xfId="1" applyNumberFormat="1" applyFont="1" applyFill="1" applyBorder="1">
      <alignment vertical="center"/>
    </xf>
    <xf numFmtId="9" fontId="7" fillId="22" borderId="1" xfId="2" applyFont="1" applyFill="1" applyBorder="1">
      <alignment vertical="center"/>
    </xf>
    <xf numFmtId="9" fontId="7" fillId="22" borderId="1" xfId="2" applyFont="1" applyFill="1" applyBorder="1" applyAlignment="1">
      <alignment horizontal="right" vertical="center"/>
    </xf>
    <xf numFmtId="0" fontId="7" fillId="0" borderId="1" xfId="0" applyFont="1" applyBorder="1">
      <alignment vertical="center"/>
    </xf>
    <xf numFmtId="0" fontId="7" fillId="9" borderId="1" xfId="0" applyFont="1" applyFill="1" applyBorder="1" applyAlignment="1">
      <alignment horizontal="center" vertical="center" wrapText="1"/>
    </xf>
    <xf numFmtId="41" fontId="7" fillId="9" borderId="1" xfId="1" applyFont="1" applyFill="1" applyBorder="1" applyAlignment="1">
      <alignment vertical="center" wrapText="1"/>
    </xf>
    <xf numFmtId="174" fontId="7" fillId="9" borderId="1" xfId="0" applyNumberFormat="1" applyFont="1" applyFill="1" applyBorder="1" applyAlignment="1">
      <alignment vertical="center" wrapText="1"/>
    </xf>
    <xf numFmtId="175" fontId="7" fillId="9" borderId="1" xfId="1" applyNumberFormat="1" applyFont="1" applyFill="1" applyBorder="1">
      <alignment vertical="center"/>
    </xf>
    <xf numFmtId="9" fontId="7" fillId="9" borderId="1" xfId="2" applyFont="1" applyFill="1" applyBorder="1">
      <alignment vertical="center"/>
    </xf>
    <xf numFmtId="180" fontId="7" fillId="9" borderId="1" xfId="1" applyNumberFormat="1" applyFont="1" applyFill="1" applyBorder="1">
      <alignment vertical="center"/>
    </xf>
    <xf numFmtId="9" fontId="7" fillId="9" borderId="1" xfId="2" applyFont="1" applyFill="1" applyBorder="1" applyAlignment="1">
      <alignment horizontal="right" vertical="center"/>
    </xf>
    <xf numFmtId="177" fontId="7" fillId="9" borderId="1" xfId="1" applyNumberFormat="1" applyFont="1" applyFill="1" applyBorder="1">
      <alignment vertical="center"/>
    </xf>
    <xf numFmtId="41" fontId="7" fillId="9" borderId="1" xfId="1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41" fontId="7" fillId="2" borderId="1" xfId="1" applyFont="1" applyFill="1" applyBorder="1">
      <alignment vertical="center"/>
    </xf>
    <xf numFmtId="175" fontId="7" fillId="2" borderId="1" xfId="1" applyNumberFormat="1" applyFont="1" applyFill="1" applyBorder="1">
      <alignment vertical="center"/>
    </xf>
    <xf numFmtId="9" fontId="7" fillId="2" borderId="1" xfId="2" applyFont="1" applyFill="1" applyBorder="1">
      <alignment vertical="center"/>
    </xf>
    <xf numFmtId="180" fontId="7" fillId="2" borderId="1" xfId="1" applyNumberFormat="1" applyFont="1" applyFill="1" applyBorder="1">
      <alignment vertical="center"/>
    </xf>
    <xf numFmtId="9" fontId="7" fillId="2" borderId="1" xfId="2" applyFont="1" applyFill="1" applyBorder="1" applyAlignment="1">
      <alignment horizontal="right" vertical="center"/>
    </xf>
    <xf numFmtId="177" fontId="7" fillId="2" borderId="1" xfId="1" applyNumberFormat="1" applyFont="1" applyFill="1" applyBorder="1">
      <alignment vertical="center"/>
    </xf>
    <xf numFmtId="174" fontId="7" fillId="2" borderId="1" xfId="1" applyNumberFormat="1" applyFont="1" applyFill="1" applyBorder="1">
      <alignment vertical="center"/>
    </xf>
    <xf numFmtId="0" fontId="23" fillId="2" borderId="1" xfId="0" applyFont="1" applyFill="1" applyBorder="1" applyAlignment="1">
      <alignment horizontal="center" vertical="center"/>
    </xf>
    <xf numFmtId="0" fontId="6" fillId="18" borderId="1" xfId="0" applyFont="1" applyFill="1" applyBorder="1">
      <alignment vertical="center"/>
    </xf>
    <xf numFmtId="0" fontId="6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175" fontId="7" fillId="32" borderId="1" xfId="1" applyNumberFormat="1" applyFont="1" applyFill="1" applyBorder="1">
      <alignment vertical="center"/>
    </xf>
    <xf numFmtId="9" fontId="7" fillId="32" borderId="1" xfId="2" applyFont="1" applyFill="1" applyBorder="1">
      <alignment vertical="center"/>
    </xf>
    <xf numFmtId="180" fontId="7" fillId="32" borderId="1" xfId="1" applyNumberFormat="1" applyFont="1" applyFill="1" applyBorder="1">
      <alignment vertical="center"/>
    </xf>
    <xf numFmtId="9" fontId="7" fillId="32" borderId="1" xfId="2" applyFont="1" applyFill="1" applyBorder="1" applyAlignment="1">
      <alignment horizontal="right" vertical="center"/>
    </xf>
    <xf numFmtId="177" fontId="7" fillId="32" borderId="1" xfId="1" applyNumberFormat="1" applyFont="1" applyFill="1" applyBorder="1">
      <alignment vertical="center"/>
    </xf>
    <xf numFmtId="41" fontId="7" fillId="32" borderId="1" xfId="1" applyFont="1" applyFill="1" applyBorder="1">
      <alignment vertical="center"/>
    </xf>
    <xf numFmtId="174" fontId="7" fillId="32" borderId="1" xfId="1" applyNumberFormat="1" applyFont="1" applyFill="1" applyBorder="1">
      <alignment vertical="center"/>
    </xf>
    <xf numFmtId="0" fontId="6" fillId="14" borderId="1" xfId="0" applyFont="1" applyFill="1" applyBorder="1" applyAlignment="1">
      <alignment horizontal="center" vertical="center"/>
    </xf>
    <xf numFmtId="0" fontId="7" fillId="14" borderId="1" xfId="0" applyFont="1" applyFill="1" applyBorder="1" applyAlignment="1">
      <alignment horizontal="center" vertical="center"/>
    </xf>
    <xf numFmtId="41" fontId="7" fillId="14" borderId="1" xfId="1" applyFont="1" applyFill="1" applyBorder="1">
      <alignment vertical="center"/>
    </xf>
    <xf numFmtId="174" fontId="7" fillId="14" borderId="1" xfId="1" applyNumberFormat="1" applyFont="1" applyFill="1" applyBorder="1">
      <alignment vertical="center"/>
    </xf>
    <xf numFmtId="175" fontId="7" fillId="14" borderId="1" xfId="1" applyNumberFormat="1" applyFont="1" applyFill="1" applyBorder="1">
      <alignment vertical="center"/>
    </xf>
    <xf numFmtId="9" fontId="7" fillId="14" borderId="1" xfId="2" applyFont="1" applyFill="1" applyBorder="1">
      <alignment vertical="center"/>
    </xf>
    <xf numFmtId="180" fontId="7" fillId="14" borderId="1" xfId="1" applyNumberFormat="1" applyFont="1" applyFill="1" applyBorder="1">
      <alignment vertical="center"/>
    </xf>
    <xf numFmtId="9" fontId="7" fillId="14" borderId="1" xfId="2" applyFont="1" applyFill="1" applyBorder="1" applyAlignment="1">
      <alignment horizontal="right" vertical="center"/>
    </xf>
    <xf numFmtId="177" fontId="7" fillId="14" borderId="1" xfId="1" applyNumberFormat="1" applyFont="1" applyFill="1" applyBorder="1">
      <alignment vertical="center"/>
    </xf>
    <xf numFmtId="9" fontId="6" fillId="32" borderId="1" xfId="2" applyFont="1" applyFill="1" applyBorder="1">
      <alignment vertical="center"/>
    </xf>
    <xf numFmtId="41" fontId="6" fillId="32" borderId="1" xfId="1" applyFont="1" applyFill="1" applyBorder="1">
      <alignment vertical="center"/>
    </xf>
    <xf numFmtId="164" fontId="6" fillId="32" borderId="1" xfId="0" applyNumberFormat="1" applyFont="1" applyFill="1" applyBorder="1">
      <alignment vertical="center"/>
    </xf>
    <xf numFmtId="180" fontId="7" fillId="32" borderId="1" xfId="0" applyNumberFormat="1" applyFont="1" applyFill="1" applyBorder="1" applyAlignment="1">
      <alignment horizontal="right" vertical="center"/>
    </xf>
    <xf numFmtId="180" fontId="7" fillId="32" borderId="1" xfId="0" applyNumberFormat="1" applyFont="1" applyFill="1" applyBorder="1">
      <alignment vertical="center"/>
    </xf>
    <xf numFmtId="0" fontId="40" fillId="32" borderId="1" xfId="0" applyFont="1" applyFill="1" applyBorder="1" applyAlignment="1">
      <alignment horizontal="center" vertical="center" wrapText="1"/>
    </xf>
    <xf numFmtId="0" fontId="7" fillId="32" borderId="1" xfId="0" applyFont="1" applyFill="1" applyBorder="1">
      <alignment vertical="center"/>
    </xf>
    <xf numFmtId="164" fontId="7" fillId="32" borderId="1" xfId="0" applyNumberFormat="1" applyFont="1" applyFill="1" applyBorder="1">
      <alignment vertical="center"/>
    </xf>
    <xf numFmtId="0" fontId="42" fillId="32" borderId="1" xfId="0" applyFont="1" applyFill="1" applyBorder="1" applyAlignment="1">
      <alignment horizontal="center" vertical="center"/>
    </xf>
    <xf numFmtId="169" fontId="48" fillId="45" borderId="1" xfId="1" applyNumberFormat="1" applyFont="1" applyFill="1" applyBorder="1" applyAlignment="1">
      <alignment horizontal="center" vertical="center"/>
    </xf>
    <xf numFmtId="0" fontId="29" fillId="4" borderId="1" xfId="0" applyFont="1" applyFill="1" applyBorder="1">
      <alignment vertical="center"/>
    </xf>
    <xf numFmtId="0" fontId="3" fillId="27" borderId="1" xfId="0" applyFont="1" applyFill="1" applyBorder="1" applyAlignment="1">
      <alignment horizontal="center" vertical="center"/>
    </xf>
    <xf numFmtId="41" fontId="3" fillId="27" borderId="1" xfId="1" applyFont="1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41" fontId="7" fillId="5" borderId="1" xfId="1" applyFont="1" applyFill="1" applyBorder="1">
      <alignment vertical="center"/>
    </xf>
    <xf numFmtId="9" fontId="7" fillId="5" borderId="1" xfId="2" applyFont="1" applyFill="1" applyBorder="1">
      <alignment vertical="center"/>
    </xf>
    <xf numFmtId="177" fontId="7" fillId="5" borderId="1" xfId="1" applyNumberFormat="1" applyFont="1" applyFill="1" applyBorder="1">
      <alignment vertical="center"/>
    </xf>
    <xf numFmtId="174" fontId="7" fillId="5" borderId="1" xfId="1" applyNumberFormat="1" applyFont="1" applyFill="1" applyBorder="1">
      <alignment vertical="center"/>
    </xf>
    <xf numFmtId="175" fontId="7" fillId="5" borderId="1" xfId="1" applyNumberFormat="1" applyFont="1" applyFill="1" applyBorder="1">
      <alignment vertical="center"/>
    </xf>
    <xf numFmtId="180" fontId="7" fillId="5" borderId="1" xfId="1" applyNumberFormat="1" applyFont="1" applyFill="1" applyBorder="1">
      <alignment vertical="center"/>
    </xf>
    <xf numFmtId="177" fontId="6" fillId="32" borderId="1" xfId="1" applyNumberFormat="1" applyFont="1" applyFill="1" applyBorder="1">
      <alignment vertical="center"/>
    </xf>
    <xf numFmtId="9" fontId="7" fillId="5" borderId="1" xfId="2" applyFont="1" applyFill="1" applyBorder="1" applyAlignment="1">
      <alignment horizontal="right" vertical="center"/>
    </xf>
    <xf numFmtId="0" fontId="6" fillId="5" borderId="1" xfId="0" applyFont="1" applyFill="1" applyBorder="1">
      <alignment vertical="center"/>
    </xf>
    <xf numFmtId="170" fontId="0" fillId="0" borderId="0" xfId="2" applyNumberFormat="1" applyFont="1">
      <alignment vertical="center"/>
    </xf>
    <xf numFmtId="169" fontId="42" fillId="2" borderId="1" xfId="1" applyNumberFormat="1" applyFont="1" applyFill="1" applyBorder="1" applyAlignment="1">
      <alignment horizontal="center" vertical="center"/>
    </xf>
    <xf numFmtId="169" fontId="46" fillId="51" borderId="1" xfId="1" applyNumberFormat="1" applyFont="1" applyFill="1" applyBorder="1" applyAlignment="1">
      <alignment horizontal="center" vertical="center"/>
    </xf>
    <xf numFmtId="0" fontId="7" fillId="9" borderId="68" xfId="0" applyFont="1" applyFill="1" applyBorder="1" applyAlignment="1">
      <alignment horizontal="center" vertical="center"/>
    </xf>
    <xf numFmtId="2" fontId="7" fillId="0" borderId="0" xfId="0" applyNumberFormat="1" applyFont="1" applyAlignment="1">
      <alignment horizontal="center" vertical="center"/>
    </xf>
    <xf numFmtId="173" fontId="7" fillId="0" borderId="0" xfId="0" applyNumberFormat="1" applyFont="1" applyAlignment="1">
      <alignment horizontal="center" vertical="center"/>
    </xf>
    <xf numFmtId="173" fontId="7" fillId="0" borderId="0" xfId="1" applyNumberFormat="1" applyFont="1" applyAlignment="1">
      <alignment horizontal="center" vertical="center"/>
    </xf>
    <xf numFmtId="2" fontId="7" fillId="0" borderId="0" xfId="1" applyNumberFormat="1" applyFont="1" applyAlignment="1">
      <alignment horizontal="center" vertical="center"/>
    </xf>
    <xf numFmtId="182" fontId="7" fillId="29" borderId="1" xfId="0" applyNumberFormat="1" applyFont="1" applyFill="1" applyBorder="1">
      <alignment vertical="center"/>
    </xf>
    <xf numFmtId="170" fontId="7" fillId="29" borderId="1" xfId="2" applyNumberFormat="1" applyFont="1" applyFill="1" applyBorder="1">
      <alignment vertical="center"/>
    </xf>
    <xf numFmtId="0" fontId="7" fillId="29" borderId="1" xfId="0" applyFont="1" applyFill="1" applyBorder="1">
      <alignment vertical="center"/>
    </xf>
    <xf numFmtId="0" fontId="7" fillId="31" borderId="1" xfId="0" applyFont="1" applyFill="1" applyBorder="1">
      <alignment vertical="center"/>
    </xf>
    <xf numFmtId="0" fontId="7" fillId="47" borderId="1" xfId="0" applyFont="1" applyFill="1" applyBorder="1">
      <alignment vertical="center"/>
    </xf>
    <xf numFmtId="0" fontId="7" fillId="30" borderId="1" xfId="0" applyFont="1" applyFill="1" applyBorder="1">
      <alignment vertical="center"/>
    </xf>
    <xf numFmtId="0" fontId="7" fillId="48" borderId="1" xfId="0" applyFont="1" applyFill="1" applyBorder="1">
      <alignment vertical="center"/>
    </xf>
    <xf numFmtId="0" fontId="7" fillId="23" borderId="1" xfId="0" applyFont="1" applyFill="1" applyBorder="1">
      <alignment vertical="center"/>
    </xf>
    <xf numFmtId="0" fontId="7" fillId="9" borderId="1" xfId="0" applyFont="1" applyFill="1" applyBorder="1">
      <alignment vertical="center"/>
    </xf>
    <xf numFmtId="0" fontId="7" fillId="21" borderId="1" xfId="0" applyFont="1" applyFill="1" applyBorder="1">
      <alignment vertical="center"/>
    </xf>
    <xf numFmtId="0" fontId="7" fillId="15" borderId="1" xfId="0" applyFont="1" applyFill="1" applyBorder="1">
      <alignment vertical="center"/>
    </xf>
    <xf numFmtId="182" fontId="42" fillId="0" borderId="1" xfId="1" applyNumberFormat="1" applyFont="1" applyBorder="1" applyAlignment="1">
      <alignment horizontal="right" vertical="center"/>
    </xf>
    <xf numFmtId="169" fontId="42" fillId="0" borderId="1" xfId="1" applyNumberFormat="1" applyFont="1" applyFill="1" applyBorder="1" applyAlignment="1">
      <alignment horizontal="center" vertical="center"/>
    </xf>
    <xf numFmtId="169" fontId="42" fillId="0" borderId="1" xfId="1" applyNumberFormat="1" applyFont="1" applyFill="1" applyBorder="1" applyAlignment="1">
      <alignment horizontal="right" vertical="center"/>
    </xf>
    <xf numFmtId="169" fontId="42" fillId="6" borderId="1" xfId="1" applyNumberFormat="1" applyFont="1" applyFill="1" applyBorder="1">
      <alignment vertical="center"/>
    </xf>
    <xf numFmtId="170" fontId="0" fillId="24" borderId="60" xfId="0" applyNumberFormat="1" applyFill="1" applyBorder="1">
      <alignment vertical="center"/>
    </xf>
    <xf numFmtId="170" fontId="0" fillId="0" borderId="53" xfId="0" applyNumberFormat="1" applyBorder="1">
      <alignment vertical="center"/>
    </xf>
    <xf numFmtId="0" fontId="29" fillId="4" borderId="1" xfId="0" applyFont="1" applyFill="1" applyBorder="1" applyAlignment="1">
      <alignment horizontal="center" vertical="center" wrapText="1"/>
    </xf>
    <xf numFmtId="171" fontId="33" fillId="13" borderId="1" xfId="1" applyNumberFormat="1" applyFont="1" applyFill="1" applyBorder="1" applyAlignment="1">
      <alignment horizontal="center" vertical="center"/>
    </xf>
    <xf numFmtId="10" fontId="4" fillId="13" borderId="1" xfId="0" applyNumberFormat="1" applyFont="1" applyFill="1" applyBorder="1">
      <alignment vertical="center"/>
    </xf>
    <xf numFmtId="170" fontId="0" fillId="24" borderId="1" xfId="0" applyNumberFormat="1" applyFill="1" applyBorder="1">
      <alignment vertical="center"/>
    </xf>
    <xf numFmtId="171" fontId="29" fillId="4" borderId="1" xfId="1" applyNumberFormat="1" applyFont="1" applyFill="1" applyBorder="1" applyAlignment="1">
      <alignment horizontal="center" vertical="center"/>
    </xf>
    <xf numFmtId="170" fontId="0" fillId="0" borderId="9" xfId="0" applyNumberFormat="1" applyBorder="1">
      <alignment vertical="center"/>
    </xf>
    <xf numFmtId="41" fontId="0" fillId="23" borderId="1" xfId="1" applyFont="1" applyFill="1" applyBorder="1" applyAlignment="1">
      <alignment horizontal="center" vertical="center"/>
    </xf>
    <xf numFmtId="41" fontId="0" fillId="23" borderId="1" xfId="1" applyFont="1" applyFill="1" applyBorder="1">
      <alignment vertical="center"/>
    </xf>
    <xf numFmtId="170" fontId="0" fillId="23" borderId="1" xfId="2" applyNumberFormat="1" applyFont="1" applyFill="1" applyBorder="1">
      <alignment vertical="center"/>
    </xf>
    <xf numFmtId="41" fontId="0" fillId="7" borderId="1" xfId="1" applyFont="1" applyFill="1" applyBorder="1" applyAlignment="1">
      <alignment horizontal="center" vertical="center"/>
    </xf>
    <xf numFmtId="41" fontId="0" fillId="7" borderId="1" xfId="1" applyFont="1" applyFill="1" applyBorder="1">
      <alignment vertical="center"/>
    </xf>
    <xf numFmtId="170" fontId="0" fillId="7" borderId="1" xfId="2" applyNumberFormat="1" applyFont="1" applyFill="1" applyBorder="1">
      <alignment vertical="center"/>
    </xf>
    <xf numFmtId="0" fontId="0" fillId="7" borderId="1" xfId="0" applyFill="1" applyBorder="1">
      <alignment vertical="center"/>
    </xf>
    <xf numFmtId="41" fontId="0" fillId="30" borderId="1" xfId="1" applyFont="1" applyFill="1" applyBorder="1" applyAlignment="1">
      <alignment horizontal="center" vertical="center"/>
    </xf>
    <xf numFmtId="41" fontId="0" fillId="30" borderId="1" xfId="1" applyFont="1" applyFill="1" applyBorder="1">
      <alignment vertical="center"/>
    </xf>
    <xf numFmtId="170" fontId="0" fillId="30" borderId="1" xfId="2" applyNumberFormat="1" applyFont="1" applyFill="1" applyBorder="1">
      <alignment vertical="center"/>
    </xf>
    <xf numFmtId="41" fontId="0" fillId="29" borderId="1" xfId="1" applyFont="1" applyFill="1" applyBorder="1" applyAlignment="1">
      <alignment horizontal="center" vertical="center"/>
    </xf>
    <xf numFmtId="41" fontId="0" fillId="29" borderId="1" xfId="1" applyFont="1" applyFill="1" applyBorder="1">
      <alignment vertical="center"/>
    </xf>
    <xf numFmtId="170" fontId="0" fillId="29" borderId="1" xfId="2" applyNumberFormat="1" applyFont="1" applyFill="1" applyBorder="1">
      <alignment vertical="center"/>
    </xf>
    <xf numFmtId="169" fontId="45" fillId="0" borderId="0" xfId="1" applyNumberFormat="1" applyFont="1" applyAlignment="1">
      <alignment horizontal="center"/>
    </xf>
    <xf numFmtId="169" fontId="46" fillId="36" borderId="5" xfId="1" applyNumberFormat="1" applyFont="1" applyFill="1" applyBorder="1" applyAlignment="1">
      <alignment horizontal="center"/>
    </xf>
    <xf numFmtId="169" fontId="46" fillId="36" borderId="45" xfId="1" applyNumberFormat="1" applyFont="1" applyFill="1" applyBorder="1" applyAlignment="1">
      <alignment horizontal="center"/>
    </xf>
    <xf numFmtId="182" fontId="42" fillId="0" borderId="1" xfId="1" applyNumberFormat="1" applyFont="1" applyBorder="1" applyAlignment="1">
      <alignment horizontal="center"/>
    </xf>
    <xf numFmtId="169" fontId="42" fillId="0" borderId="1" xfId="1" applyNumberFormat="1" applyFont="1" applyBorder="1" applyAlignment="1">
      <alignment horizontal="center"/>
    </xf>
    <xf numFmtId="169" fontId="42" fillId="0" borderId="1" xfId="1" applyNumberFormat="1" applyFont="1" applyFill="1" applyBorder="1" applyAlignment="1">
      <alignment horizontal="center"/>
    </xf>
    <xf numFmtId="169" fontId="42" fillId="0" borderId="0" xfId="1" applyNumberFormat="1" applyFont="1" applyAlignment="1">
      <alignment horizontal="center"/>
    </xf>
    <xf numFmtId="169" fontId="0" fillId="0" borderId="0" xfId="1" applyNumberFormat="1" applyFont="1" applyAlignment="1">
      <alignment horizontal="center"/>
    </xf>
    <xf numFmtId="171" fontId="42" fillId="0" borderId="1" xfId="1" applyNumberFormat="1" applyFont="1" applyBorder="1">
      <alignment vertical="center"/>
    </xf>
    <xf numFmtId="169" fontId="46" fillId="34" borderId="1" xfId="1" applyNumberFormat="1" applyFont="1" applyFill="1" applyBorder="1" applyAlignment="1">
      <alignment horizontal="center" vertical="center"/>
    </xf>
    <xf numFmtId="169" fontId="48" fillId="52" borderId="5" xfId="1" applyNumberFormat="1" applyFont="1" applyFill="1" applyBorder="1" applyAlignment="1">
      <alignment horizontal="center" vertical="center"/>
    </xf>
    <xf numFmtId="169" fontId="48" fillId="52" borderId="45" xfId="1" applyNumberFormat="1" applyFont="1" applyFill="1" applyBorder="1" applyAlignment="1">
      <alignment horizontal="center" vertical="center"/>
    </xf>
    <xf numFmtId="170" fontId="52" fillId="17" borderId="1" xfId="2" applyNumberFormat="1" applyFont="1" applyFill="1" applyBorder="1" applyAlignment="1">
      <alignment horizontal="center" vertical="center"/>
    </xf>
    <xf numFmtId="169" fontId="3" fillId="53" borderId="1" xfId="1" applyNumberFormat="1" applyFont="1" applyFill="1" applyBorder="1" applyAlignment="1">
      <alignment horizontal="center" vertical="center"/>
    </xf>
    <xf numFmtId="169" fontId="50" fillId="53" borderId="1" xfId="1" applyNumberFormat="1" applyFont="1" applyFill="1" applyBorder="1">
      <alignment vertical="center"/>
    </xf>
    <xf numFmtId="169" fontId="51" fillId="53" borderId="1" xfId="1" applyNumberFormat="1" applyFont="1" applyFill="1" applyBorder="1">
      <alignment vertical="center"/>
    </xf>
    <xf numFmtId="41" fontId="7" fillId="23" borderId="9" xfId="1" applyFont="1" applyFill="1" applyBorder="1" applyAlignment="1">
      <alignment horizontal="center" vertical="center"/>
    </xf>
    <xf numFmtId="41" fontId="42" fillId="0" borderId="1" xfId="1" applyFont="1" applyBorder="1">
      <alignment vertical="center"/>
    </xf>
    <xf numFmtId="169" fontId="42" fillId="54" borderId="1" xfId="1" applyNumberFormat="1" applyFont="1" applyFill="1" applyBorder="1" applyAlignment="1">
      <alignment horizontal="center" vertical="center"/>
    </xf>
    <xf numFmtId="169" fontId="42" fillId="5" borderId="1" xfId="1" applyNumberFormat="1" applyFont="1" applyFill="1" applyBorder="1">
      <alignment vertical="center"/>
    </xf>
    <xf numFmtId="41" fontId="7" fillId="0" borderId="11" xfId="1" applyFont="1" applyFill="1" applyBorder="1">
      <alignment vertical="center"/>
    </xf>
    <xf numFmtId="41" fontId="7" fillId="0" borderId="76" xfId="1" applyFont="1" applyFill="1" applyBorder="1">
      <alignment vertical="center"/>
    </xf>
    <xf numFmtId="41" fontId="7" fillId="0" borderId="58" xfId="1" applyFont="1" applyFill="1" applyBorder="1">
      <alignment vertical="center"/>
    </xf>
    <xf numFmtId="41" fontId="7" fillId="0" borderId="59" xfId="1" applyFont="1" applyFill="1" applyBorder="1">
      <alignment vertical="center"/>
    </xf>
    <xf numFmtId="0" fontId="6" fillId="18" borderId="1" xfId="0" applyFont="1" applyFill="1" applyBorder="1" applyAlignment="1">
      <alignment horizontal="center" vertical="center"/>
    </xf>
    <xf numFmtId="0" fontId="7" fillId="18" borderId="1" xfId="0" applyFont="1" applyFill="1" applyBorder="1" applyAlignment="1">
      <alignment horizontal="center" vertical="center"/>
    </xf>
    <xf numFmtId="41" fontId="7" fillId="18" borderId="1" xfId="1" applyFont="1" applyFill="1" applyBorder="1">
      <alignment vertical="center"/>
    </xf>
    <xf numFmtId="167" fontId="7" fillId="18" borderId="1" xfId="1" applyNumberFormat="1" applyFont="1" applyFill="1" applyBorder="1">
      <alignment vertical="center"/>
    </xf>
    <xf numFmtId="175" fontId="7" fillId="18" borderId="1" xfId="1" applyNumberFormat="1" applyFont="1" applyFill="1" applyBorder="1">
      <alignment vertical="center"/>
    </xf>
    <xf numFmtId="9" fontId="7" fillId="18" borderId="1" xfId="2" applyFont="1" applyFill="1" applyBorder="1">
      <alignment vertical="center"/>
    </xf>
    <xf numFmtId="180" fontId="7" fillId="18" borderId="1" xfId="1" applyNumberFormat="1" applyFont="1" applyFill="1" applyBorder="1">
      <alignment vertical="center"/>
    </xf>
    <xf numFmtId="9" fontId="7" fillId="18" borderId="1" xfId="2" applyFont="1" applyFill="1" applyBorder="1" applyAlignment="1">
      <alignment horizontal="right" vertical="center"/>
    </xf>
    <xf numFmtId="177" fontId="7" fillId="18" borderId="1" xfId="1" applyNumberFormat="1" applyFont="1" applyFill="1" applyBorder="1">
      <alignment vertical="center"/>
    </xf>
    <xf numFmtId="169" fontId="7" fillId="18" borderId="0" xfId="1" applyNumberFormat="1" applyFont="1" applyFill="1" applyAlignment="1">
      <alignment horizontal="center" vertical="center"/>
    </xf>
    <xf numFmtId="169" fontId="7" fillId="18" borderId="0" xfId="1" applyNumberFormat="1" applyFont="1" applyFill="1">
      <alignment vertical="center"/>
    </xf>
    <xf numFmtId="41" fontId="29" fillId="32" borderId="0" xfId="1" applyFont="1" applyFill="1" applyBorder="1" applyAlignment="1">
      <alignment horizontal="center" vertical="center"/>
    </xf>
    <xf numFmtId="0" fontId="7" fillId="26" borderId="57" xfId="0" applyFont="1" applyFill="1" applyBorder="1" applyAlignment="1">
      <alignment horizontal="center" vertical="center"/>
    </xf>
    <xf numFmtId="0" fontId="7" fillId="35" borderId="79" xfId="0" applyFont="1" applyFill="1" applyBorder="1" applyAlignment="1">
      <alignment horizontal="center" vertical="center"/>
    </xf>
    <xf numFmtId="0" fontId="6" fillId="29" borderId="57" xfId="5" applyFont="1" applyFill="1" applyBorder="1" applyAlignment="1">
      <alignment horizontal="center" vertical="center"/>
    </xf>
    <xf numFmtId="0" fontId="7" fillId="35" borderId="57" xfId="0" applyFont="1" applyFill="1" applyBorder="1" applyAlignment="1">
      <alignment horizontal="center" vertical="center"/>
    </xf>
    <xf numFmtId="0" fontId="6" fillId="14" borderId="1" xfId="0" applyFont="1" applyFill="1" applyBorder="1">
      <alignment vertical="center"/>
    </xf>
    <xf numFmtId="0" fontId="37" fillId="14" borderId="1" xfId="0" applyFont="1" applyFill="1" applyBorder="1" applyAlignment="1">
      <alignment horizontal="center" vertical="center"/>
    </xf>
    <xf numFmtId="41" fontId="37" fillId="14" borderId="1" xfId="1" applyFont="1" applyFill="1" applyBorder="1">
      <alignment vertical="center"/>
    </xf>
    <xf numFmtId="174" fontId="38" fillId="14" borderId="1" xfId="1" applyNumberFormat="1" applyFont="1" applyFill="1" applyBorder="1">
      <alignment vertical="center"/>
    </xf>
    <xf numFmtId="0" fontId="6" fillId="13" borderId="1" xfId="0" applyFont="1" applyFill="1" applyBorder="1">
      <alignment vertical="center"/>
    </xf>
    <xf numFmtId="9" fontId="7" fillId="13" borderId="1" xfId="2" applyFont="1" applyFill="1" applyBorder="1" applyAlignment="1">
      <alignment horizontal="right" vertical="center"/>
    </xf>
    <xf numFmtId="0" fontId="6" fillId="32" borderId="1" xfId="0" applyFont="1" applyFill="1" applyBorder="1">
      <alignment vertical="center"/>
    </xf>
    <xf numFmtId="169" fontId="42" fillId="32" borderId="1" xfId="1" applyNumberFormat="1" applyFont="1" applyFill="1" applyBorder="1" applyAlignment="1">
      <alignment horizontal="center" vertical="center"/>
    </xf>
    <xf numFmtId="0" fontId="6" fillId="13" borderId="5" xfId="0" applyFont="1" applyFill="1" applyBorder="1" applyAlignment="1">
      <alignment horizontal="center" vertical="center"/>
    </xf>
    <xf numFmtId="0" fontId="7" fillId="13" borderId="5" xfId="0" applyFont="1" applyFill="1" applyBorder="1" applyAlignment="1">
      <alignment horizontal="center" vertical="center"/>
    </xf>
    <xf numFmtId="0" fontId="6" fillId="13" borderId="5" xfId="0" applyFont="1" applyFill="1" applyBorder="1">
      <alignment vertical="center"/>
    </xf>
    <xf numFmtId="41" fontId="7" fillId="13" borderId="5" xfId="1" applyFont="1" applyFill="1" applyBorder="1">
      <alignment vertical="center"/>
    </xf>
    <xf numFmtId="174" fontId="7" fillId="13" borderId="5" xfId="1" applyNumberFormat="1" applyFont="1" applyFill="1" applyBorder="1">
      <alignment vertical="center"/>
    </xf>
    <xf numFmtId="175" fontId="7" fillId="13" borderId="5" xfId="1" applyNumberFormat="1" applyFont="1" applyFill="1" applyBorder="1">
      <alignment vertical="center"/>
    </xf>
    <xf numFmtId="9" fontId="7" fillId="13" borderId="5" xfId="2" applyFont="1" applyFill="1" applyBorder="1">
      <alignment vertical="center"/>
    </xf>
    <xf numFmtId="180" fontId="7" fillId="13" borderId="5" xfId="1" applyNumberFormat="1" applyFont="1" applyFill="1" applyBorder="1">
      <alignment vertical="center"/>
    </xf>
    <xf numFmtId="9" fontId="7" fillId="13" borderId="5" xfId="2" applyFont="1" applyFill="1" applyBorder="1" applyAlignment="1">
      <alignment horizontal="right" vertical="center"/>
    </xf>
    <xf numFmtId="177" fontId="7" fillId="13" borderId="5" xfId="1" applyNumberFormat="1" applyFont="1" applyFill="1" applyBorder="1">
      <alignment vertical="center"/>
    </xf>
    <xf numFmtId="0" fontId="6" fillId="2" borderId="1" xfId="0" applyFont="1" applyFill="1" applyBorder="1">
      <alignment vertical="center"/>
    </xf>
    <xf numFmtId="0" fontId="6" fillId="55" borderId="1" xfId="0" applyFont="1" applyFill="1" applyBorder="1" applyAlignment="1">
      <alignment horizontal="center" vertical="center"/>
    </xf>
    <xf numFmtId="0" fontId="7" fillId="55" borderId="1" xfId="0" applyFont="1" applyFill="1" applyBorder="1" applyAlignment="1">
      <alignment horizontal="center" vertical="center"/>
    </xf>
    <xf numFmtId="0" fontId="6" fillId="55" borderId="1" xfId="0" applyFont="1" applyFill="1" applyBorder="1">
      <alignment vertical="center"/>
    </xf>
    <xf numFmtId="41" fontId="7" fillId="55" borderId="1" xfId="1" applyFont="1" applyFill="1" applyBorder="1">
      <alignment vertical="center"/>
    </xf>
    <xf numFmtId="174" fontId="7" fillId="55" borderId="1" xfId="1" applyNumberFormat="1" applyFont="1" applyFill="1" applyBorder="1">
      <alignment vertical="center"/>
    </xf>
    <xf numFmtId="175" fontId="7" fillId="55" borderId="1" xfId="1" applyNumberFormat="1" applyFont="1" applyFill="1" applyBorder="1">
      <alignment vertical="center"/>
    </xf>
    <xf numFmtId="9" fontId="7" fillId="55" borderId="1" xfId="2" applyFont="1" applyFill="1" applyBorder="1">
      <alignment vertical="center"/>
    </xf>
    <xf numFmtId="180" fontId="7" fillId="55" borderId="1" xfId="1" applyNumberFormat="1" applyFont="1" applyFill="1" applyBorder="1">
      <alignment vertical="center"/>
    </xf>
    <xf numFmtId="9" fontId="7" fillId="55" borderId="1" xfId="2" applyFont="1" applyFill="1" applyBorder="1" applyAlignment="1">
      <alignment horizontal="right" vertical="center"/>
    </xf>
    <xf numFmtId="177" fontId="7" fillId="55" borderId="1" xfId="1" applyNumberFormat="1" applyFont="1" applyFill="1" applyBorder="1">
      <alignment vertical="center"/>
    </xf>
    <xf numFmtId="166" fontId="7" fillId="55" borderId="1" xfId="0" applyNumberFormat="1" applyFont="1" applyFill="1" applyBorder="1" applyAlignment="1">
      <alignment horizontal="center" vertical="center"/>
    </xf>
    <xf numFmtId="41" fontId="7" fillId="55" borderId="1" xfId="1" applyFont="1" applyFill="1" applyBorder="1" applyAlignment="1">
      <alignment horizontal="right" vertical="center"/>
    </xf>
    <xf numFmtId="0" fontId="37" fillId="5" borderId="1" xfId="0" applyFont="1" applyFill="1" applyBorder="1" applyAlignment="1">
      <alignment horizontal="center" vertical="center"/>
    </xf>
    <xf numFmtId="41" fontId="37" fillId="5" borderId="1" xfId="1" applyFont="1" applyFill="1" applyBorder="1">
      <alignment vertical="center"/>
    </xf>
    <xf numFmtId="174" fontId="34" fillId="5" borderId="1" xfId="1" applyNumberFormat="1" applyFont="1" applyFill="1" applyBorder="1">
      <alignment vertical="center"/>
    </xf>
    <xf numFmtId="41" fontId="7" fillId="30" borderId="1" xfId="1" applyFont="1" applyFill="1" applyBorder="1">
      <alignment vertical="center"/>
    </xf>
    <xf numFmtId="174" fontId="7" fillId="30" borderId="1" xfId="1" applyNumberFormat="1" applyFont="1" applyFill="1" applyBorder="1">
      <alignment vertical="center"/>
    </xf>
    <xf numFmtId="175" fontId="7" fillId="30" borderId="1" xfId="1" applyNumberFormat="1" applyFont="1" applyFill="1" applyBorder="1">
      <alignment vertical="center"/>
    </xf>
    <xf numFmtId="9" fontId="7" fillId="30" borderId="1" xfId="2" applyFont="1" applyFill="1" applyBorder="1">
      <alignment vertical="center"/>
    </xf>
    <xf numFmtId="180" fontId="7" fillId="30" borderId="1" xfId="1" applyNumberFormat="1" applyFont="1" applyFill="1" applyBorder="1">
      <alignment vertical="center"/>
    </xf>
    <xf numFmtId="9" fontId="7" fillId="30" borderId="1" xfId="2" applyFont="1" applyFill="1" applyBorder="1" applyAlignment="1">
      <alignment horizontal="right" vertical="center"/>
    </xf>
    <xf numFmtId="177" fontId="7" fillId="30" borderId="1" xfId="1" applyNumberFormat="1" applyFont="1" applyFill="1" applyBorder="1">
      <alignment vertical="center"/>
    </xf>
    <xf numFmtId="0" fontId="7" fillId="28" borderId="1" xfId="0" applyFont="1" applyFill="1" applyBorder="1" applyAlignment="1">
      <alignment horizontal="center" vertical="center"/>
    </xf>
    <xf numFmtId="41" fontId="7" fillId="28" borderId="1" xfId="1" applyFont="1" applyFill="1" applyBorder="1">
      <alignment vertical="center"/>
    </xf>
    <xf numFmtId="174" fontId="7" fillId="28" borderId="1" xfId="1" applyNumberFormat="1" applyFont="1" applyFill="1" applyBorder="1">
      <alignment vertical="center"/>
    </xf>
    <xf numFmtId="175" fontId="7" fillId="28" borderId="1" xfId="1" applyNumberFormat="1" applyFont="1" applyFill="1" applyBorder="1">
      <alignment vertical="center"/>
    </xf>
    <xf numFmtId="9" fontId="7" fillId="28" borderId="1" xfId="2" applyFont="1" applyFill="1" applyBorder="1">
      <alignment vertical="center"/>
    </xf>
    <xf numFmtId="180" fontId="7" fillId="28" borderId="1" xfId="1" applyNumberFormat="1" applyFont="1" applyFill="1" applyBorder="1">
      <alignment vertical="center"/>
    </xf>
    <xf numFmtId="9" fontId="7" fillId="28" borderId="1" xfId="2" applyFont="1" applyFill="1" applyBorder="1" applyAlignment="1">
      <alignment horizontal="right" vertical="center"/>
    </xf>
    <xf numFmtId="177" fontId="7" fillId="28" borderId="1" xfId="1" applyNumberFormat="1" applyFont="1" applyFill="1" applyBorder="1">
      <alignment vertical="center"/>
    </xf>
    <xf numFmtId="174" fontId="7" fillId="28" borderId="1" xfId="0" applyNumberFormat="1" applyFont="1" applyFill="1" applyBorder="1">
      <alignment vertical="center"/>
    </xf>
    <xf numFmtId="167" fontId="7" fillId="28" borderId="1" xfId="1" applyNumberFormat="1" applyFont="1" applyFill="1" applyBorder="1">
      <alignment vertical="center"/>
    </xf>
    <xf numFmtId="0" fontId="7" fillId="28" borderId="1" xfId="0" applyFont="1" applyFill="1" applyBorder="1">
      <alignment vertical="center"/>
    </xf>
    <xf numFmtId="167" fontId="7" fillId="28" borderId="1" xfId="0" applyNumberFormat="1" applyFont="1" applyFill="1" applyBorder="1">
      <alignment vertical="center"/>
    </xf>
    <xf numFmtId="0" fontId="37" fillId="28" borderId="1" xfId="0" applyFont="1" applyFill="1" applyBorder="1" applyAlignment="1">
      <alignment horizontal="center" vertical="center"/>
    </xf>
    <xf numFmtId="41" fontId="37" fillId="28" borderId="1" xfId="1" applyFont="1" applyFill="1" applyBorder="1">
      <alignment vertical="center"/>
    </xf>
    <xf numFmtId="174" fontId="34" fillId="28" borderId="1" xfId="1" applyNumberFormat="1" applyFont="1" applyFill="1" applyBorder="1">
      <alignment vertical="center"/>
    </xf>
    <xf numFmtId="0" fontId="6" fillId="29" borderId="79" xfId="5" applyFont="1" applyFill="1" applyBorder="1" applyAlignment="1">
      <alignment horizontal="center" vertical="center"/>
    </xf>
    <xf numFmtId="181" fontId="6" fillId="5" borderId="9" xfId="7" applyNumberFormat="1" applyFont="1" applyFill="1" applyBorder="1">
      <alignment vertical="center"/>
    </xf>
    <xf numFmtId="41" fontId="0" fillId="56" borderId="1" xfId="1" applyFont="1" applyFill="1" applyBorder="1" applyAlignment="1">
      <alignment horizontal="center" vertical="center"/>
    </xf>
    <xf numFmtId="41" fontId="0" fillId="56" borderId="1" xfId="1" applyFont="1" applyFill="1" applyBorder="1">
      <alignment vertical="center"/>
    </xf>
    <xf numFmtId="170" fontId="0" fillId="56" borderId="1" xfId="2" applyNumberFormat="1" applyFont="1" applyFill="1" applyBorder="1">
      <alignment vertical="center"/>
    </xf>
    <xf numFmtId="0" fontId="0" fillId="56" borderId="1" xfId="0" applyFill="1" applyBorder="1">
      <alignment vertical="center"/>
    </xf>
    <xf numFmtId="41" fontId="6" fillId="15" borderId="1" xfId="1" applyFont="1" applyFill="1" applyBorder="1" applyAlignment="1">
      <alignment horizontal="center" vertical="center"/>
    </xf>
    <xf numFmtId="0" fontId="0" fillId="15" borderId="1" xfId="0" applyFill="1" applyBorder="1">
      <alignment vertical="center"/>
    </xf>
    <xf numFmtId="182" fontId="6" fillId="15" borderId="1" xfId="1" applyNumberFormat="1" applyFont="1" applyFill="1" applyBorder="1">
      <alignment vertical="center"/>
    </xf>
    <xf numFmtId="0" fontId="7" fillId="3" borderId="1" xfId="0" applyFont="1" applyFill="1" applyBorder="1" applyAlignment="1">
      <alignment horizontal="center" vertical="center"/>
    </xf>
    <xf numFmtId="41" fontId="7" fillId="3" borderId="1" xfId="1" applyFont="1" applyFill="1" applyBorder="1" applyAlignment="1">
      <alignment horizontal="center" vertical="center"/>
    </xf>
    <xf numFmtId="182" fontId="6" fillId="3" borderId="1" xfId="1" applyNumberFormat="1" applyFont="1" applyFill="1" applyBorder="1">
      <alignment vertical="center"/>
    </xf>
    <xf numFmtId="182" fontId="7" fillId="3" borderId="1" xfId="0" applyNumberFormat="1" applyFont="1" applyFill="1" applyBorder="1">
      <alignment vertical="center"/>
    </xf>
    <xf numFmtId="170" fontId="7" fillId="3" borderId="1" xfId="2" applyNumberFormat="1" applyFont="1" applyFill="1" applyBorder="1">
      <alignment vertical="center"/>
    </xf>
    <xf numFmtId="0" fontId="0" fillId="3" borderId="1" xfId="0" applyFill="1" applyBorder="1">
      <alignment vertical="center"/>
    </xf>
    <xf numFmtId="171" fontId="42" fillId="5" borderId="1" xfId="1" applyNumberFormat="1" applyFont="1" applyFill="1" applyBorder="1">
      <alignment vertical="center"/>
    </xf>
    <xf numFmtId="169" fontId="46" fillId="36" borderId="31" xfId="1" applyNumberFormat="1" applyFont="1" applyFill="1" applyBorder="1" applyAlignment="1">
      <alignment horizontal="center" vertical="center"/>
    </xf>
    <xf numFmtId="169" fontId="51" fillId="53" borderId="0" xfId="1" applyNumberFormat="1" applyFont="1" applyFill="1" applyBorder="1">
      <alignment vertical="center"/>
    </xf>
    <xf numFmtId="169" fontId="42" fillId="18" borderId="1" xfId="1" applyNumberFormat="1" applyFont="1" applyFill="1" applyBorder="1">
      <alignment vertical="center"/>
    </xf>
    <xf numFmtId="169" fontId="42" fillId="18" borderId="1" xfId="1" applyNumberFormat="1" applyFont="1" applyFill="1" applyBorder="1" applyAlignment="1">
      <alignment horizontal="center" vertical="center"/>
    </xf>
    <xf numFmtId="169" fontId="53" fillId="5" borderId="1" xfId="73" applyNumberFormat="1" applyFont="1" applyFill="1" applyBorder="1" applyAlignment="1">
      <alignment horizontal="center" vertical="center"/>
    </xf>
    <xf numFmtId="0" fontId="7" fillId="9" borderId="73" xfId="0" applyFont="1" applyFill="1" applyBorder="1" applyAlignment="1">
      <alignment horizontal="center" vertical="center"/>
    </xf>
    <xf numFmtId="169" fontId="42" fillId="0" borderId="30" xfId="1" applyNumberFormat="1" applyFont="1" applyBorder="1" applyAlignment="1">
      <alignment horizontal="center" vertical="center"/>
    </xf>
    <xf numFmtId="169" fontId="42" fillId="0" borderId="24" xfId="1" applyNumberFormat="1" applyFont="1" applyBorder="1" applyAlignment="1">
      <alignment horizontal="center" vertical="center"/>
    </xf>
    <xf numFmtId="169" fontId="42" fillId="38" borderId="24" xfId="1" applyNumberFormat="1" applyFont="1" applyFill="1" applyBorder="1" applyAlignment="1">
      <alignment horizontal="center" vertical="center"/>
    </xf>
    <xf numFmtId="169" fontId="42" fillId="0" borderId="24" xfId="1" applyNumberFormat="1" applyFont="1" applyBorder="1" applyAlignment="1">
      <alignment horizontal="center"/>
    </xf>
    <xf numFmtId="183" fontId="6" fillId="0" borderId="0" xfId="0" applyNumberFormat="1" applyFont="1">
      <alignment vertical="center"/>
    </xf>
    <xf numFmtId="169" fontId="42" fillId="0" borderId="24" xfId="1" applyNumberFormat="1" applyFont="1" applyFill="1" applyBorder="1" applyAlignment="1">
      <alignment horizontal="center" vertical="center"/>
    </xf>
    <xf numFmtId="0" fontId="29" fillId="4" borderId="1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4" borderId="2" xfId="0" applyFont="1" applyFill="1" applyBorder="1" applyAlignment="1">
      <alignment horizontal="center" vertical="center"/>
    </xf>
    <xf numFmtId="0" fontId="3" fillId="4" borderId="0" xfId="0" applyFont="1" applyFill="1" applyAlignment="1">
      <alignment horizontal="center" vertical="center"/>
    </xf>
    <xf numFmtId="169" fontId="48" fillId="45" borderId="30" xfId="1" applyNumberFormat="1" applyFont="1" applyFill="1" applyBorder="1" applyAlignment="1">
      <alignment horizontal="center" vertical="center"/>
    </xf>
    <xf numFmtId="169" fontId="48" fillId="45" borderId="24" xfId="1" applyNumberFormat="1" applyFont="1" applyFill="1" applyBorder="1" applyAlignment="1">
      <alignment horizontal="center" vertical="center"/>
    </xf>
    <xf numFmtId="169" fontId="48" fillId="45" borderId="31" xfId="1" applyNumberFormat="1" applyFont="1" applyFill="1" applyBorder="1" applyAlignment="1">
      <alignment horizontal="center" vertical="center"/>
    </xf>
    <xf numFmtId="169" fontId="48" fillId="46" borderId="30" xfId="1" applyNumberFormat="1" applyFont="1" applyFill="1" applyBorder="1" applyAlignment="1">
      <alignment horizontal="center" vertical="center"/>
    </xf>
    <xf numFmtId="169" fontId="48" fillId="46" borderId="24" xfId="1" applyNumberFormat="1" applyFont="1" applyFill="1" applyBorder="1" applyAlignment="1">
      <alignment horizontal="center" vertical="center"/>
    </xf>
    <xf numFmtId="169" fontId="48" fillId="46" borderId="31" xfId="1" applyNumberFormat="1" applyFont="1" applyFill="1" applyBorder="1" applyAlignment="1">
      <alignment horizontal="center" vertical="center"/>
    </xf>
    <xf numFmtId="169" fontId="48" fillId="44" borderId="30" xfId="1" applyNumberFormat="1" applyFont="1" applyFill="1" applyBorder="1" applyAlignment="1">
      <alignment horizontal="center" vertical="center"/>
    </xf>
    <xf numFmtId="169" fontId="48" fillId="44" borderId="24" xfId="1" applyNumberFormat="1" applyFont="1" applyFill="1" applyBorder="1" applyAlignment="1">
      <alignment horizontal="center" vertical="center"/>
    </xf>
    <xf numFmtId="169" fontId="48" fillId="44" borderId="31" xfId="1" applyNumberFormat="1" applyFont="1" applyFill="1" applyBorder="1" applyAlignment="1">
      <alignment horizontal="center" vertical="center"/>
    </xf>
    <xf numFmtId="169" fontId="46" fillId="34" borderId="1" xfId="1" applyNumberFormat="1" applyFont="1" applyFill="1" applyBorder="1" applyAlignment="1">
      <alignment horizontal="center" vertical="center"/>
    </xf>
    <xf numFmtId="169" fontId="48" fillId="37" borderId="1" xfId="1" applyNumberFormat="1" applyFont="1" applyFill="1" applyBorder="1" applyAlignment="1">
      <alignment horizontal="center" vertical="center"/>
    </xf>
    <xf numFmtId="169" fontId="48" fillId="39" borderId="30" xfId="1" applyNumberFormat="1" applyFont="1" applyFill="1" applyBorder="1" applyAlignment="1">
      <alignment horizontal="center" vertical="center"/>
    </xf>
    <xf numFmtId="169" fontId="48" fillId="39" borderId="24" xfId="1" applyNumberFormat="1" applyFont="1" applyFill="1" applyBorder="1" applyAlignment="1">
      <alignment horizontal="center" vertical="center"/>
    </xf>
    <xf numFmtId="169" fontId="48" fillId="39" borderId="31" xfId="1" applyNumberFormat="1" applyFont="1" applyFill="1" applyBorder="1" applyAlignment="1">
      <alignment horizontal="center" vertical="center"/>
    </xf>
    <xf numFmtId="169" fontId="46" fillId="36" borderId="30" xfId="1" applyNumberFormat="1" applyFont="1" applyFill="1" applyBorder="1" applyAlignment="1">
      <alignment horizontal="center" vertical="center"/>
    </xf>
    <xf numFmtId="169" fontId="46" fillId="36" borderId="24" xfId="1" applyNumberFormat="1" applyFont="1" applyFill="1" applyBorder="1" applyAlignment="1">
      <alignment horizontal="center" vertical="center"/>
    </xf>
    <xf numFmtId="169" fontId="46" fillId="36" borderId="31" xfId="1" applyNumberFormat="1" applyFont="1" applyFill="1" applyBorder="1" applyAlignment="1">
      <alignment horizontal="center" vertical="center"/>
    </xf>
    <xf numFmtId="169" fontId="48" fillId="6" borderId="5" xfId="1" applyNumberFormat="1" applyFont="1" applyFill="1" applyBorder="1" applyAlignment="1">
      <alignment horizontal="center" vertical="center" wrapText="1"/>
    </xf>
    <xf numFmtId="169" fontId="48" fillId="6" borderId="48" xfId="1" applyNumberFormat="1" applyFont="1" applyFill="1" applyBorder="1" applyAlignment="1">
      <alignment horizontal="center" vertical="center" wrapText="1"/>
    </xf>
    <xf numFmtId="169" fontId="48" fillId="6" borderId="45" xfId="1" applyNumberFormat="1" applyFont="1" applyFill="1" applyBorder="1" applyAlignment="1">
      <alignment horizontal="center" vertical="center" wrapText="1"/>
    </xf>
    <xf numFmtId="169" fontId="46" fillId="36" borderId="5" xfId="1" applyNumberFormat="1" applyFont="1" applyFill="1" applyBorder="1" applyAlignment="1">
      <alignment horizontal="center" vertical="center" wrapText="1"/>
    </xf>
    <xf numFmtId="169" fontId="46" fillId="36" borderId="48" xfId="1" applyNumberFormat="1" applyFont="1" applyFill="1" applyBorder="1" applyAlignment="1">
      <alignment horizontal="center" vertical="center"/>
    </xf>
    <xf numFmtId="169" fontId="46" fillId="36" borderId="45" xfId="1" applyNumberFormat="1" applyFont="1" applyFill="1" applyBorder="1" applyAlignment="1">
      <alignment horizontal="center" vertical="center"/>
    </xf>
    <xf numFmtId="169" fontId="46" fillId="36" borderId="5" xfId="1" applyNumberFormat="1" applyFont="1" applyFill="1" applyBorder="1" applyAlignment="1">
      <alignment horizontal="center" vertical="center"/>
    </xf>
    <xf numFmtId="169" fontId="43" fillId="0" borderId="0" xfId="1" applyNumberFormat="1" applyFont="1" applyAlignment="1">
      <alignment horizontal="center" vertical="center"/>
    </xf>
    <xf numFmtId="169" fontId="44" fillId="0" borderId="0" xfId="1" applyNumberFormat="1" applyFont="1">
      <alignment vertical="center"/>
    </xf>
    <xf numFmtId="169" fontId="46" fillId="36" borderId="1" xfId="1" applyNumberFormat="1" applyFont="1" applyFill="1" applyBorder="1" applyAlignment="1">
      <alignment horizontal="center" vertical="center"/>
    </xf>
    <xf numFmtId="169" fontId="49" fillId="0" borderId="1" xfId="1" applyNumberFormat="1" applyFont="1" applyBorder="1">
      <alignment vertical="center"/>
    </xf>
    <xf numFmtId="169" fontId="48" fillId="42" borderId="30" xfId="1" applyNumberFormat="1" applyFont="1" applyFill="1" applyBorder="1" applyAlignment="1">
      <alignment horizontal="center" vertical="center"/>
    </xf>
    <xf numFmtId="169" fontId="48" fillId="42" borderId="24" xfId="1" applyNumberFormat="1" applyFont="1" applyFill="1" applyBorder="1" applyAlignment="1">
      <alignment horizontal="center" vertical="center"/>
    </xf>
    <xf numFmtId="169" fontId="48" fillId="42" borderId="31" xfId="1" applyNumberFormat="1" applyFont="1" applyFill="1" applyBorder="1" applyAlignment="1">
      <alignment horizontal="center" vertical="center"/>
    </xf>
    <xf numFmtId="169" fontId="48" fillId="40" borderId="30" xfId="1" applyNumberFormat="1" applyFont="1" applyFill="1" applyBorder="1" applyAlignment="1">
      <alignment horizontal="center" vertical="center"/>
    </xf>
    <xf numFmtId="169" fontId="48" fillId="40" borderId="24" xfId="1" applyNumberFormat="1" applyFont="1" applyFill="1" applyBorder="1" applyAlignment="1">
      <alignment horizontal="center" vertical="center"/>
    </xf>
    <xf numFmtId="169" fontId="48" fillId="40" borderId="31" xfId="1" applyNumberFormat="1" applyFont="1" applyFill="1" applyBorder="1" applyAlignment="1">
      <alignment horizontal="center" vertical="center"/>
    </xf>
    <xf numFmtId="169" fontId="48" fillId="43" borderId="30" xfId="1" applyNumberFormat="1" applyFont="1" applyFill="1" applyBorder="1" applyAlignment="1">
      <alignment horizontal="center" vertical="center"/>
    </xf>
    <xf numFmtId="169" fontId="48" fillId="43" borderId="24" xfId="1" applyNumberFormat="1" applyFont="1" applyFill="1" applyBorder="1" applyAlignment="1">
      <alignment horizontal="center" vertical="center"/>
    </xf>
    <xf numFmtId="169" fontId="48" fillId="43" borderId="31" xfId="1" applyNumberFormat="1" applyFont="1" applyFill="1" applyBorder="1" applyAlignment="1">
      <alignment horizontal="center" vertical="center"/>
    </xf>
    <xf numFmtId="169" fontId="48" fillId="41" borderId="30" xfId="1" applyNumberFormat="1" applyFont="1" applyFill="1" applyBorder="1" applyAlignment="1">
      <alignment horizontal="center" vertical="center"/>
    </xf>
    <xf numFmtId="169" fontId="48" fillId="41" borderId="24" xfId="1" applyNumberFormat="1" applyFont="1" applyFill="1" applyBorder="1" applyAlignment="1">
      <alignment horizontal="center" vertical="center"/>
    </xf>
    <xf numFmtId="169" fontId="48" fillId="41" borderId="31" xfId="1" applyNumberFormat="1" applyFont="1" applyFill="1" applyBorder="1" applyAlignment="1">
      <alignment horizontal="center" vertical="center"/>
    </xf>
    <xf numFmtId="0" fontId="29" fillId="25" borderId="30" xfId="0" applyFont="1" applyFill="1" applyBorder="1" applyAlignment="1">
      <alignment horizontal="center" vertical="center"/>
    </xf>
    <xf numFmtId="0" fontId="29" fillId="25" borderId="24" xfId="0" applyFont="1" applyFill="1" applyBorder="1" applyAlignment="1">
      <alignment horizontal="center" vertical="center"/>
    </xf>
    <xf numFmtId="0" fontId="29" fillId="25" borderId="31" xfId="0" applyFont="1" applyFill="1" applyBorder="1" applyAlignment="1">
      <alignment horizontal="center" vertical="center"/>
    </xf>
    <xf numFmtId="0" fontId="3" fillId="27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9" fillId="4" borderId="1" xfId="0" applyFont="1" applyFill="1" applyBorder="1" applyAlignment="1">
      <alignment horizontal="center" vertical="center" wrapText="1"/>
    </xf>
    <xf numFmtId="171" fontId="29" fillId="4" borderId="1" xfId="1" applyNumberFormat="1" applyFont="1" applyFill="1" applyBorder="1" applyAlignment="1">
      <alignment horizontal="center" vertical="center" wrapText="1"/>
    </xf>
    <xf numFmtId="0" fontId="29" fillId="25" borderId="1" xfId="0" applyFont="1" applyFill="1" applyBorder="1" applyAlignment="1">
      <alignment horizontal="center" vertical="center" wrapText="1"/>
    </xf>
    <xf numFmtId="0" fontId="29" fillId="32" borderId="80" xfId="0" applyFont="1" applyFill="1" applyBorder="1" applyAlignment="1">
      <alignment horizontal="center" vertical="center"/>
    </xf>
    <xf numFmtId="0" fontId="29" fillId="32" borderId="66" xfId="0" applyFont="1" applyFill="1" applyBorder="1" applyAlignment="1">
      <alignment horizontal="center" vertical="center"/>
    </xf>
    <xf numFmtId="0" fontId="29" fillId="32" borderId="4" xfId="0" applyFont="1" applyFill="1" applyBorder="1" applyAlignment="1">
      <alignment horizontal="center" vertical="center"/>
    </xf>
    <xf numFmtId="0" fontId="29" fillId="32" borderId="61" xfId="0" applyFont="1" applyFill="1" applyBorder="1" applyAlignment="1">
      <alignment horizontal="center" vertical="center"/>
    </xf>
    <xf numFmtId="171" fontId="29" fillId="32" borderId="4" xfId="1" applyNumberFormat="1" applyFont="1" applyFill="1" applyBorder="1" applyAlignment="1">
      <alignment horizontal="center" vertical="center"/>
    </xf>
    <xf numFmtId="171" fontId="29" fillId="32" borderId="61" xfId="1" applyNumberFormat="1" applyFont="1" applyFill="1" applyBorder="1" applyAlignment="1">
      <alignment horizontal="center" vertical="center"/>
    </xf>
    <xf numFmtId="41" fontId="29" fillId="32" borderId="4" xfId="1" applyFont="1" applyFill="1" applyBorder="1" applyAlignment="1">
      <alignment horizontal="center" vertical="center"/>
    </xf>
    <xf numFmtId="170" fontId="29" fillId="32" borderId="4" xfId="2" applyNumberFormat="1" applyFont="1" applyFill="1" applyBorder="1" applyAlignment="1">
      <alignment horizontal="center" vertical="center" wrapText="1"/>
    </xf>
    <xf numFmtId="170" fontId="29" fillId="32" borderId="61" xfId="2" applyNumberFormat="1" applyFont="1" applyFill="1" applyBorder="1" applyAlignment="1">
      <alignment horizontal="center" vertical="center" wrapText="1"/>
    </xf>
    <xf numFmtId="41" fontId="29" fillId="32" borderId="81" xfId="1" applyFont="1" applyFill="1" applyBorder="1" applyAlignment="1">
      <alignment horizontal="center" vertical="center"/>
    </xf>
    <xf numFmtId="41" fontId="29" fillId="32" borderId="61" xfId="1" applyFont="1" applyFill="1" applyBorder="1" applyAlignment="1">
      <alignment horizontal="center" vertical="center"/>
    </xf>
    <xf numFmtId="41" fontId="29" fillId="32" borderId="67" xfId="1" applyFont="1" applyFill="1" applyBorder="1" applyAlignment="1">
      <alignment horizontal="center" vertical="center"/>
    </xf>
    <xf numFmtId="41" fontId="7" fillId="23" borderId="0" xfId="1" applyFont="1" applyFill="1" applyBorder="1" applyAlignment="1">
      <alignment horizontal="center" vertical="center"/>
    </xf>
    <xf numFmtId="41" fontId="7" fillId="23" borderId="9" xfId="1" applyFont="1" applyFill="1" applyBorder="1" applyAlignment="1">
      <alignment horizontal="center" vertical="center"/>
    </xf>
    <xf numFmtId="41" fontId="29" fillId="32" borderId="64" xfId="1" applyFont="1" applyFill="1" applyBorder="1" applyAlignment="1">
      <alignment horizontal="center" vertical="center"/>
    </xf>
    <xf numFmtId="170" fontId="29" fillId="32" borderId="64" xfId="2" applyNumberFormat="1" applyFont="1" applyFill="1" applyBorder="1" applyAlignment="1">
      <alignment horizontal="center" vertical="center" wrapText="1"/>
    </xf>
    <xf numFmtId="41" fontId="29" fillId="0" borderId="64" xfId="1" applyFont="1" applyFill="1" applyBorder="1" applyAlignment="1">
      <alignment horizontal="center" vertical="center"/>
    </xf>
    <xf numFmtId="41" fontId="29" fillId="0" borderId="65" xfId="1" applyFont="1" applyFill="1" applyBorder="1" applyAlignment="1">
      <alignment horizontal="center" vertical="center"/>
    </xf>
    <xf numFmtId="41" fontId="29" fillId="0" borderId="61" xfId="1" applyFont="1" applyFill="1" applyBorder="1" applyAlignment="1">
      <alignment horizontal="center" vertical="center"/>
    </xf>
    <xf numFmtId="41" fontId="29" fillId="0" borderId="67" xfId="1" applyFont="1" applyFill="1" applyBorder="1" applyAlignment="1">
      <alignment horizontal="center" vertical="center"/>
    </xf>
    <xf numFmtId="0" fontId="29" fillId="32" borderId="63" xfId="0" applyFont="1" applyFill="1" applyBorder="1" applyAlignment="1">
      <alignment horizontal="center" vertical="center"/>
    </xf>
    <xf numFmtId="0" fontId="29" fillId="32" borderId="64" xfId="0" applyFont="1" applyFill="1" applyBorder="1" applyAlignment="1">
      <alignment horizontal="center" vertical="center"/>
    </xf>
    <xf numFmtId="171" fontId="29" fillId="32" borderId="64" xfId="1" applyNumberFormat="1" applyFont="1" applyFill="1" applyBorder="1" applyAlignment="1">
      <alignment horizontal="center" vertical="center"/>
    </xf>
    <xf numFmtId="41" fontId="7" fillId="23" borderId="70" xfId="1" applyFont="1" applyFill="1" applyBorder="1" applyAlignment="1">
      <alignment horizontal="center" vertical="center"/>
    </xf>
    <xf numFmtId="41" fontId="29" fillId="32" borderId="65" xfId="1" applyFont="1" applyFill="1" applyBorder="1" applyAlignment="1">
      <alignment horizontal="center" vertical="center"/>
    </xf>
    <xf numFmtId="0" fontId="29" fillId="4" borderId="60" xfId="0" applyFont="1" applyFill="1" applyBorder="1" applyAlignment="1">
      <alignment horizontal="center" vertical="center" wrapText="1"/>
    </xf>
    <xf numFmtId="0" fontId="29" fillId="4" borderId="60" xfId="0" applyFont="1" applyFill="1" applyBorder="1" applyAlignment="1">
      <alignment horizontal="center" vertical="center"/>
    </xf>
    <xf numFmtId="171" fontId="29" fillId="4" borderId="60" xfId="1" applyNumberFormat="1" applyFont="1" applyFill="1" applyBorder="1" applyAlignment="1">
      <alignment horizontal="center" vertical="center" wrapText="1"/>
    </xf>
    <xf numFmtId="0" fontId="29" fillId="25" borderId="60" xfId="0" applyFont="1" applyFill="1" applyBorder="1" applyAlignment="1">
      <alignment horizontal="center" vertical="center" wrapText="1"/>
    </xf>
    <xf numFmtId="41" fontId="7" fillId="23" borderId="74" xfId="1" applyFont="1" applyFill="1" applyBorder="1" applyAlignment="1">
      <alignment horizontal="center" vertical="center"/>
    </xf>
    <xf numFmtId="0" fontId="29" fillId="32" borderId="75" xfId="0" applyFont="1" applyFill="1" applyBorder="1" applyAlignment="1">
      <alignment horizontal="center" vertical="center"/>
    </xf>
    <xf numFmtId="0" fontId="29" fillId="32" borderId="57" xfId="0" applyFont="1" applyFill="1" applyBorder="1" applyAlignment="1">
      <alignment horizontal="center" vertical="center"/>
    </xf>
    <xf numFmtId="0" fontId="29" fillId="32" borderId="11" xfId="0" applyFont="1" applyFill="1" applyBorder="1" applyAlignment="1">
      <alignment horizontal="center" vertical="center"/>
    </xf>
    <xf numFmtId="0" fontId="29" fillId="32" borderId="0" xfId="0" applyFont="1" applyFill="1" applyAlignment="1">
      <alignment horizontal="center" vertical="center"/>
    </xf>
    <xf numFmtId="171" fontId="29" fillId="32" borderId="11" xfId="1" applyNumberFormat="1" applyFont="1" applyFill="1" applyBorder="1" applyAlignment="1">
      <alignment horizontal="center" vertical="center"/>
    </xf>
    <xf numFmtId="171" fontId="29" fillId="32" borderId="0" xfId="1" applyNumberFormat="1" applyFont="1" applyFill="1" applyBorder="1" applyAlignment="1">
      <alignment horizontal="center" vertical="center"/>
    </xf>
    <xf numFmtId="41" fontId="29" fillId="32" borderId="11" xfId="1" applyFont="1" applyFill="1" applyBorder="1" applyAlignment="1">
      <alignment horizontal="center" vertical="center"/>
    </xf>
    <xf numFmtId="170" fontId="29" fillId="32" borderId="11" xfId="2" applyNumberFormat="1" applyFont="1" applyFill="1" applyBorder="1" applyAlignment="1">
      <alignment horizontal="center" vertical="center" wrapText="1"/>
    </xf>
    <xf numFmtId="170" fontId="29" fillId="32" borderId="0" xfId="2" applyNumberFormat="1" applyFont="1" applyFill="1" applyBorder="1" applyAlignment="1">
      <alignment horizontal="center" vertical="center" wrapText="1"/>
    </xf>
    <xf numFmtId="0" fontId="29" fillId="32" borderId="77" xfId="0" applyFont="1" applyFill="1" applyBorder="1" applyAlignment="1">
      <alignment horizontal="center" vertical="center"/>
    </xf>
    <xf numFmtId="41" fontId="29" fillId="32" borderId="76" xfId="1" applyFont="1" applyFill="1" applyBorder="1" applyAlignment="1">
      <alignment horizontal="center" vertical="center"/>
    </xf>
    <xf numFmtId="41" fontId="29" fillId="32" borderId="78" xfId="1" applyFont="1" applyFill="1" applyBorder="1" applyAlignment="1">
      <alignment horizontal="center" vertical="center"/>
    </xf>
    <xf numFmtId="0" fontId="31" fillId="12" borderId="35" xfId="5" applyFont="1" applyFill="1" applyBorder="1" applyAlignment="1">
      <alignment horizontal="center" vertical="center"/>
    </xf>
    <xf numFmtId="168" fontId="14" fillId="12" borderId="35" xfId="10" applyNumberFormat="1" applyFont="1" applyFill="1" applyBorder="1" applyAlignment="1">
      <alignment horizontal="center" vertical="center"/>
    </xf>
    <xf numFmtId="0" fontId="14" fillId="19" borderId="15" xfId="5" applyFont="1" applyFill="1" applyBorder="1" applyAlignment="1">
      <alignment horizontal="center" vertical="center"/>
    </xf>
    <xf numFmtId="0" fontId="14" fillId="19" borderId="0" xfId="5" applyFont="1" applyFill="1" applyAlignment="1">
      <alignment horizontal="center" vertical="center"/>
    </xf>
    <xf numFmtId="0" fontId="14" fillId="19" borderId="7" xfId="5" applyFont="1" applyFill="1" applyBorder="1" applyAlignment="1">
      <alignment horizontal="center" vertical="center"/>
    </xf>
    <xf numFmtId="0" fontId="32" fillId="12" borderId="35" xfId="5" applyFont="1" applyFill="1" applyBorder="1" applyAlignment="1">
      <alignment horizontal="center" vertical="center"/>
    </xf>
    <xf numFmtId="0" fontId="26" fillId="3" borderId="20" xfId="5" applyFont="1" applyFill="1" applyBorder="1" applyAlignment="1">
      <alignment horizontal="center" vertical="center"/>
    </xf>
    <xf numFmtId="0" fontId="26" fillId="3" borderId="21" xfId="5" applyFont="1" applyFill="1" applyBorder="1" applyAlignment="1">
      <alignment horizontal="center" vertical="center"/>
    </xf>
    <xf numFmtId="0" fontId="26" fillId="3" borderId="22" xfId="5" applyFont="1" applyFill="1" applyBorder="1" applyAlignment="1">
      <alignment horizontal="center" vertical="center"/>
    </xf>
    <xf numFmtId="0" fontId="28" fillId="3" borderId="37" xfId="5" applyFont="1" applyFill="1" applyBorder="1" applyAlignment="1">
      <alignment horizontal="center" vertical="center"/>
    </xf>
    <xf numFmtId="0" fontId="28" fillId="3" borderId="24" xfId="5" applyFont="1" applyFill="1" applyBorder="1" applyAlignment="1">
      <alignment horizontal="center" vertical="center"/>
    </xf>
    <xf numFmtId="0" fontId="28" fillId="3" borderId="31" xfId="5" applyFont="1" applyFill="1" applyBorder="1" applyAlignment="1">
      <alignment horizontal="center" vertical="center"/>
    </xf>
    <xf numFmtId="0" fontId="28" fillId="3" borderId="1" xfId="5" applyFont="1" applyFill="1" applyBorder="1" applyAlignment="1">
      <alignment horizontal="center" vertical="center"/>
    </xf>
    <xf numFmtId="0" fontId="28" fillId="3" borderId="47" xfId="5" applyFont="1" applyFill="1" applyBorder="1" applyAlignment="1">
      <alignment horizontal="center" vertical="center"/>
    </xf>
    <xf numFmtId="0" fontId="26" fillId="3" borderId="12" xfId="5" applyFont="1" applyFill="1" applyBorder="1" applyAlignment="1">
      <alignment horizontal="center" vertical="center"/>
    </xf>
    <xf numFmtId="0" fontId="26" fillId="3" borderId="13" xfId="5" applyFont="1" applyFill="1" applyBorder="1" applyAlignment="1">
      <alignment horizontal="center" vertical="center"/>
    </xf>
    <xf numFmtId="0" fontId="26" fillId="3" borderId="14" xfId="5" applyFont="1" applyFill="1" applyBorder="1" applyAlignment="1">
      <alignment horizontal="center" vertical="center"/>
    </xf>
    <xf numFmtId="0" fontId="28" fillId="3" borderId="25" xfId="5" applyFont="1" applyFill="1" applyBorder="1" applyAlignment="1">
      <alignment horizontal="center" vertical="center"/>
    </xf>
    <xf numFmtId="0" fontId="11" fillId="0" borderId="20" xfId="5" applyFont="1" applyBorder="1">
      <alignment vertical="center"/>
    </xf>
    <xf numFmtId="0" fontId="11" fillId="0" borderId="21" xfId="5" applyFont="1" applyBorder="1">
      <alignment vertical="center"/>
    </xf>
    <xf numFmtId="0" fontId="4" fillId="19" borderId="26" xfId="5" applyFont="1" applyFill="1" applyBorder="1" applyAlignment="1">
      <alignment horizontal="center" vertical="center"/>
    </xf>
    <xf numFmtId="0" fontId="4" fillId="19" borderId="28" xfId="5" applyFont="1" applyFill="1" applyBorder="1" applyAlignment="1">
      <alignment horizontal="center" vertical="center"/>
    </xf>
    <xf numFmtId="0" fontId="4" fillId="19" borderId="29" xfId="5" applyFont="1" applyFill="1" applyBorder="1" applyAlignment="1">
      <alignment horizontal="center" vertical="center"/>
    </xf>
    <xf numFmtId="0" fontId="0" fillId="19" borderId="27" xfId="5" applyFont="1" applyFill="1" applyBorder="1" applyAlignment="1">
      <alignment horizontal="center" vertical="center"/>
    </xf>
    <xf numFmtId="0" fontId="0" fillId="19" borderId="0" xfId="5" applyFont="1" applyFill="1" applyAlignment="1">
      <alignment horizontal="center" vertical="center"/>
    </xf>
    <xf numFmtId="0" fontId="0" fillId="19" borderId="13" xfId="5" applyFont="1" applyFill="1" applyBorder="1" applyAlignment="1">
      <alignment horizontal="center" vertical="center"/>
    </xf>
    <xf numFmtId="0" fontId="0" fillId="19" borderId="14" xfId="5" applyFont="1" applyFill="1" applyBorder="1" applyAlignment="1">
      <alignment horizontal="center" vertical="center"/>
    </xf>
    <xf numFmtId="0" fontId="0" fillId="19" borderId="2" xfId="5" applyFont="1" applyFill="1" applyBorder="1" applyAlignment="1">
      <alignment horizontal="center" vertical="center"/>
    </xf>
    <xf numFmtId="0" fontId="0" fillId="19" borderId="16" xfId="5" applyFont="1" applyFill="1" applyBorder="1" applyAlignment="1">
      <alignment horizontal="center" vertical="center"/>
    </xf>
    <xf numFmtId="0" fontId="0" fillId="19" borderId="33" xfId="5" applyFont="1" applyFill="1" applyBorder="1" applyAlignment="1">
      <alignment horizontal="center" vertical="center"/>
    </xf>
    <xf numFmtId="0" fontId="0" fillId="19" borderId="42" xfId="5" applyFont="1" applyFill="1" applyBorder="1" applyAlignment="1">
      <alignment horizontal="center" vertical="center"/>
    </xf>
    <xf numFmtId="0" fontId="0" fillId="19" borderId="40" xfId="5" applyFont="1" applyFill="1" applyBorder="1" applyAlignment="1">
      <alignment horizontal="center" vertical="center" wrapText="1"/>
    </xf>
    <xf numFmtId="0" fontId="0" fillId="19" borderId="15" xfId="5" applyFont="1" applyFill="1" applyBorder="1" applyAlignment="1">
      <alignment horizontal="center" vertical="center" wrapText="1"/>
    </xf>
    <xf numFmtId="0" fontId="0" fillId="19" borderId="17" xfId="5" applyFont="1" applyFill="1" applyBorder="1" applyAlignment="1">
      <alignment horizontal="center" vertical="center" wrapText="1"/>
    </xf>
    <xf numFmtId="0" fontId="3" fillId="3" borderId="1" xfId="5" applyFont="1" applyFill="1" applyBorder="1" applyAlignment="1">
      <alignment horizontal="center" vertical="center" wrapText="1"/>
    </xf>
    <xf numFmtId="0" fontId="26" fillId="3" borderId="1" xfId="5" applyFont="1" applyFill="1" applyBorder="1" applyAlignment="1">
      <alignment horizontal="center" vertical="center"/>
    </xf>
    <xf numFmtId="168" fontId="26" fillId="3" borderId="1" xfId="5" applyNumberFormat="1" applyFont="1" applyFill="1" applyBorder="1" applyAlignment="1">
      <alignment horizontal="center" vertical="center" shrinkToFit="1"/>
    </xf>
    <xf numFmtId="0" fontId="26" fillId="3" borderId="30" xfId="5" applyFont="1" applyFill="1" applyBorder="1" applyAlignment="1">
      <alignment horizontal="center" vertical="center"/>
    </xf>
    <xf numFmtId="0" fontId="4" fillId="7" borderId="1" xfId="5" applyFont="1" applyFill="1" applyBorder="1" applyAlignment="1">
      <alignment horizontal="center" vertical="center" wrapText="1"/>
    </xf>
    <xf numFmtId="0" fontId="4" fillId="17" borderId="1" xfId="5" applyFont="1" applyFill="1" applyBorder="1" applyAlignment="1">
      <alignment horizontal="center" vertical="center" wrapText="1"/>
    </xf>
    <xf numFmtId="0" fontId="4" fillId="12" borderId="5" xfId="5" applyFont="1" applyFill="1" applyBorder="1" applyAlignment="1">
      <alignment horizontal="center" vertical="center" wrapText="1"/>
    </xf>
    <xf numFmtId="0" fontId="4" fillId="12" borderId="48" xfId="5" applyFont="1" applyFill="1" applyBorder="1" applyAlignment="1">
      <alignment horizontal="center" vertical="center" wrapText="1"/>
    </xf>
    <xf numFmtId="0" fontId="4" fillId="12" borderId="32" xfId="5" applyFont="1" applyFill="1" applyBorder="1" applyAlignment="1">
      <alignment horizontal="center" vertical="center" wrapText="1"/>
    </xf>
    <xf numFmtId="0" fontId="4" fillId="7" borderId="5" xfId="5" applyFont="1" applyFill="1" applyBorder="1" applyAlignment="1">
      <alignment horizontal="center" vertical="center" wrapText="1"/>
    </xf>
    <xf numFmtId="0" fontId="4" fillId="7" borderId="48" xfId="5" applyFont="1" applyFill="1" applyBorder="1" applyAlignment="1">
      <alignment horizontal="center" vertical="center" wrapText="1"/>
    </xf>
    <xf numFmtId="0" fontId="4" fillId="7" borderId="45" xfId="5" applyFont="1" applyFill="1" applyBorder="1" applyAlignment="1">
      <alignment horizontal="center" vertical="center" wrapText="1"/>
    </xf>
    <xf numFmtId="0" fontId="11" fillId="0" borderId="12" xfId="5" applyFont="1" applyBorder="1">
      <alignment vertical="center"/>
    </xf>
    <xf numFmtId="0" fontId="11" fillId="0" borderId="13" xfId="5" applyFont="1" applyBorder="1">
      <alignment vertical="center"/>
    </xf>
    <xf numFmtId="0" fontId="0" fillId="19" borderId="51" xfId="5" applyFont="1" applyFill="1" applyBorder="1" applyAlignment="1">
      <alignment horizontal="center" vertical="center"/>
    </xf>
    <xf numFmtId="0" fontId="26" fillId="3" borderId="47" xfId="5" applyFont="1" applyFill="1" applyBorder="1" applyAlignment="1">
      <alignment horizontal="center" vertical="center"/>
    </xf>
    <xf numFmtId="0" fontId="27" fillId="3" borderId="56" xfId="5" applyFont="1" applyFill="1" applyBorder="1" applyAlignment="1">
      <alignment horizontal="left" vertical="center"/>
    </xf>
    <xf numFmtId="0" fontId="27" fillId="3" borderId="35" xfId="5" applyFont="1" applyFill="1" applyBorder="1" applyAlignment="1">
      <alignment horizontal="left" vertical="center"/>
    </xf>
    <xf numFmtId="0" fontId="27" fillId="3" borderId="36" xfId="5" applyFont="1" applyFill="1" applyBorder="1" applyAlignment="1">
      <alignment horizontal="left" vertical="center"/>
    </xf>
    <xf numFmtId="41" fontId="9" fillId="12" borderId="35" xfId="1" applyFont="1" applyFill="1" applyBorder="1" applyAlignment="1">
      <alignment horizontal="center" vertical="center"/>
    </xf>
    <xf numFmtId="41" fontId="14" fillId="12" borderId="35" xfId="1" applyFont="1" applyFill="1" applyBorder="1" applyAlignment="1">
      <alignment horizontal="center" vertical="center"/>
    </xf>
    <xf numFmtId="41" fontId="32" fillId="12" borderId="35" xfId="1" applyFont="1" applyFill="1" applyBorder="1" applyAlignment="1">
      <alignment horizontal="center" vertical="center"/>
    </xf>
    <xf numFmtId="0" fontId="4" fillId="17" borderId="5" xfId="5" applyFont="1" applyFill="1" applyBorder="1" applyAlignment="1">
      <alignment horizontal="center" vertical="center" wrapText="1"/>
    </xf>
    <xf numFmtId="0" fontId="4" fillId="17" borderId="48" xfId="5" applyFont="1" applyFill="1" applyBorder="1" applyAlignment="1">
      <alignment horizontal="center" vertical="center" wrapText="1"/>
    </xf>
    <xf numFmtId="0" fontId="4" fillId="12" borderId="34" xfId="5" applyFont="1" applyFill="1" applyBorder="1" applyAlignment="1">
      <alignment horizontal="center" vertical="center" wrapText="1"/>
    </xf>
    <xf numFmtId="0" fontId="4" fillId="12" borderId="49" xfId="5" applyFont="1" applyFill="1" applyBorder="1" applyAlignment="1">
      <alignment horizontal="center" vertical="center" wrapText="1"/>
    </xf>
    <xf numFmtId="0" fontId="12" fillId="12" borderId="35" xfId="5" applyFont="1" applyFill="1" applyBorder="1" applyAlignment="1">
      <alignment horizontal="center" vertical="center"/>
    </xf>
    <xf numFmtId="0" fontId="12" fillId="12" borderId="49" xfId="5" applyFont="1" applyFill="1" applyBorder="1" applyAlignment="1">
      <alignment horizontal="center" vertical="center"/>
    </xf>
    <xf numFmtId="168" fontId="12" fillId="12" borderId="35" xfId="10" applyNumberFormat="1" applyFont="1" applyFill="1" applyBorder="1" applyAlignment="1">
      <alignment horizontal="center" vertical="center"/>
    </xf>
    <xf numFmtId="168" fontId="12" fillId="12" borderId="49" xfId="10" applyNumberFormat="1" applyFont="1" applyFill="1" applyBorder="1" applyAlignment="1">
      <alignment horizontal="center" vertical="center"/>
    </xf>
    <xf numFmtId="0" fontId="4" fillId="12" borderId="45" xfId="5" applyFont="1" applyFill="1" applyBorder="1" applyAlignment="1">
      <alignment horizontal="center" vertical="center" wrapText="1"/>
    </xf>
    <xf numFmtId="0" fontId="12" fillId="12" borderId="18" xfId="5" applyFont="1" applyFill="1" applyBorder="1" applyAlignment="1">
      <alignment horizontal="center" vertical="center"/>
    </xf>
    <xf numFmtId="168" fontId="9" fillId="12" borderId="18" xfId="10" applyNumberFormat="1" applyFill="1" applyBorder="1" applyAlignment="1">
      <alignment horizontal="center" vertical="center"/>
    </xf>
    <xf numFmtId="169" fontId="56" fillId="0" borderId="0" xfId="1" applyNumberFormat="1" applyFont="1" applyFill="1" applyAlignment="1">
      <alignment horizontal="center" vertical="center"/>
    </xf>
    <xf numFmtId="169" fontId="55" fillId="0" borderId="0" xfId="1" applyNumberFormat="1" applyFont="1" applyFill="1">
      <alignment vertical="center"/>
    </xf>
    <xf numFmtId="169" fontId="57" fillId="0" borderId="0" xfId="1" applyNumberFormat="1" applyFont="1" applyFill="1">
      <alignment vertical="center"/>
    </xf>
    <xf numFmtId="169" fontId="57" fillId="0" borderId="0" xfId="1" applyNumberFormat="1" applyFont="1">
      <alignment vertical="center"/>
    </xf>
    <xf numFmtId="169" fontId="57" fillId="0" borderId="5" xfId="1" applyNumberFormat="1" applyFont="1" applyFill="1" applyBorder="1" applyAlignment="1">
      <alignment horizontal="center" vertical="center"/>
    </xf>
    <xf numFmtId="169" fontId="55" fillId="0" borderId="0" xfId="1" applyNumberFormat="1" applyFont="1" applyFill="1" applyBorder="1" applyAlignment="1">
      <alignment horizontal="center" vertical="center"/>
    </xf>
    <xf numFmtId="169" fontId="57" fillId="0" borderId="48" xfId="1" applyNumberFormat="1" applyFont="1" applyFill="1" applyBorder="1" applyAlignment="1">
      <alignment horizontal="center" vertical="center"/>
    </xf>
    <xf numFmtId="169" fontId="57" fillId="0" borderId="45" xfId="1" applyNumberFormat="1" applyFont="1" applyFill="1" applyBorder="1" applyAlignment="1">
      <alignment horizontal="center" vertical="center"/>
    </xf>
    <xf numFmtId="9" fontId="58" fillId="0" borderId="48" xfId="2" applyFont="1" applyFill="1" applyBorder="1" applyAlignment="1">
      <alignment horizontal="center" vertical="center"/>
    </xf>
    <xf numFmtId="9" fontId="55" fillId="0" borderId="0" xfId="2" applyFont="1" applyFill="1">
      <alignment vertical="center"/>
    </xf>
    <xf numFmtId="9" fontId="57" fillId="0" borderId="0" xfId="2" applyFont="1" applyFill="1">
      <alignment vertical="center"/>
    </xf>
    <xf numFmtId="41" fontId="58" fillId="0" borderId="48" xfId="1" applyFont="1" applyFill="1" applyBorder="1" applyAlignment="1">
      <alignment horizontal="center" vertical="center"/>
    </xf>
    <xf numFmtId="0" fontId="59" fillId="0" borderId="0" xfId="0" applyFont="1">
      <alignment vertical="center"/>
    </xf>
    <xf numFmtId="169" fontId="58" fillId="0" borderId="48" xfId="1" applyNumberFormat="1" applyFont="1" applyFill="1" applyBorder="1" applyAlignment="1">
      <alignment horizontal="center" vertical="center"/>
    </xf>
    <xf numFmtId="169" fontId="54" fillId="0" borderId="0" xfId="1" applyNumberFormat="1" applyFont="1" applyFill="1">
      <alignment vertical="center"/>
    </xf>
    <xf numFmtId="170" fontId="58" fillId="0" borderId="48" xfId="2" applyNumberFormat="1" applyFont="1" applyFill="1" applyBorder="1" applyAlignment="1">
      <alignment horizontal="center" vertical="center"/>
    </xf>
    <xf numFmtId="169" fontId="58" fillId="0" borderId="45" xfId="1" applyNumberFormat="1" applyFont="1" applyFill="1" applyBorder="1" applyAlignment="1">
      <alignment horizontal="center" vertical="center"/>
    </xf>
    <xf numFmtId="169" fontId="58" fillId="0" borderId="0" xfId="1" applyNumberFormat="1" applyFont="1" applyFill="1" applyAlignment="1">
      <alignment horizontal="center" vertical="center"/>
    </xf>
    <xf numFmtId="169" fontId="57" fillId="0" borderId="0" xfId="1" applyNumberFormat="1" applyFont="1" applyFill="1" applyAlignment="1">
      <alignment horizontal="center" vertical="center"/>
    </xf>
  </cellXfs>
  <cellStyles count="80">
    <cellStyle name="Comma [0]" xfId="1" builtinId="6"/>
    <cellStyle name="Comma [0] 2" xfId="18" xr:uid="{00000000-0005-0000-0000-000000000000}"/>
    <cellStyle name="Comma [0] 2 2" xfId="75" xr:uid="{8DBF17DB-369C-479C-BA8E-769CAB132109}"/>
    <cellStyle name="Comma [0] 3" xfId="73" xr:uid="{AF343DA1-C27D-46A7-ADEE-E1487F028C80}"/>
    <cellStyle name="Heading 3 2 2 71 8" xfId="13" xr:uid="{00000000-0005-0000-0000-000001000000}"/>
    <cellStyle name="Heading 3 2 72 8" xfId="21" xr:uid="{00000000-0005-0000-0000-000002000000}"/>
    <cellStyle name="Hyperlink 2" xfId="66" xr:uid="{00000000-0005-0000-0000-000003000000}"/>
    <cellStyle name="Normal" xfId="0" builtinId="0"/>
    <cellStyle name="Normal 10" xfId="38" xr:uid="{00000000-0005-0000-0000-000004000000}"/>
    <cellStyle name="Normal 11" xfId="29" xr:uid="{00000000-0005-0000-0000-000005000000}"/>
    <cellStyle name="Normal 12" xfId="39" xr:uid="{00000000-0005-0000-0000-000006000000}"/>
    <cellStyle name="Normal 13" xfId="40" xr:uid="{00000000-0005-0000-0000-000007000000}"/>
    <cellStyle name="Normal 14" xfId="41" xr:uid="{00000000-0005-0000-0000-000008000000}"/>
    <cellStyle name="Normal 15" xfId="42" xr:uid="{00000000-0005-0000-0000-000009000000}"/>
    <cellStyle name="Normal 16" xfId="43" xr:uid="{00000000-0005-0000-0000-00000A000000}"/>
    <cellStyle name="Normal 17" xfId="44" xr:uid="{00000000-0005-0000-0000-00000B000000}"/>
    <cellStyle name="Normal 18" xfId="45" xr:uid="{00000000-0005-0000-0000-00000C000000}"/>
    <cellStyle name="Normal 19" xfId="46" xr:uid="{00000000-0005-0000-0000-00000D000000}"/>
    <cellStyle name="Normal 2" xfId="12" xr:uid="{00000000-0005-0000-0000-00000E000000}"/>
    <cellStyle name="Normal 2 2" xfId="27" xr:uid="{00000000-0005-0000-0000-00000F000000}"/>
    <cellStyle name="Normal 20" xfId="47" xr:uid="{00000000-0005-0000-0000-000010000000}"/>
    <cellStyle name="Normal 21" xfId="48" xr:uid="{00000000-0005-0000-0000-000011000000}"/>
    <cellStyle name="Normal 22" xfId="49" xr:uid="{00000000-0005-0000-0000-000012000000}"/>
    <cellStyle name="Normal 23" xfId="51" xr:uid="{00000000-0005-0000-0000-000013000000}"/>
    <cellStyle name="Normal 24" xfId="63" xr:uid="{00000000-0005-0000-0000-000014000000}"/>
    <cellStyle name="Normal 25" xfId="64" xr:uid="{00000000-0005-0000-0000-000015000000}"/>
    <cellStyle name="Normal 26" xfId="65" xr:uid="{00000000-0005-0000-0000-000016000000}"/>
    <cellStyle name="Normal 3" xfId="17" xr:uid="{00000000-0005-0000-0000-000017000000}"/>
    <cellStyle name="Normal 3 2" xfId="50" xr:uid="{00000000-0005-0000-0000-000018000000}"/>
    <cellStyle name="Normal 3 2 2" xfId="62" xr:uid="{00000000-0005-0000-0000-000019000000}"/>
    <cellStyle name="Normal 4" xfId="31" xr:uid="{00000000-0005-0000-0000-00001A000000}"/>
    <cellStyle name="Normal 5" xfId="32" xr:uid="{00000000-0005-0000-0000-00001B000000}"/>
    <cellStyle name="Normal 6" xfId="33" xr:uid="{00000000-0005-0000-0000-00001C000000}"/>
    <cellStyle name="Normal 7" xfId="34" xr:uid="{00000000-0005-0000-0000-00001D000000}"/>
    <cellStyle name="Normal 8" xfId="36" xr:uid="{00000000-0005-0000-0000-00001E000000}"/>
    <cellStyle name="Normal 9" xfId="37" xr:uid="{00000000-0005-0000-0000-00001F000000}"/>
    <cellStyle name="Percent" xfId="2" builtinId="5"/>
    <cellStyle name="백분율 2" xfId="7" xr:uid="{00000000-0005-0000-0000-000021000000}"/>
    <cellStyle name="백분율 2 2" xfId="69" xr:uid="{00000000-0005-0000-0000-000022000000}"/>
    <cellStyle name="백분율 2 6" xfId="56" xr:uid="{00000000-0005-0000-0000-000023000000}"/>
    <cellStyle name="백분율 6 2 3" xfId="10" xr:uid="{00000000-0005-0000-0000-000024000000}"/>
    <cellStyle name="백분율 6 2 3 13" xfId="58" xr:uid="{00000000-0005-0000-0000-000025000000}"/>
    <cellStyle name="쉼표 [0] 2 6" xfId="20" xr:uid="{00000000-0005-0000-0000-000027000000}"/>
    <cellStyle name="쉼표 [0] 2 6 2" xfId="77" xr:uid="{D3618D6E-48FF-48DE-8708-A50079E88824}"/>
    <cellStyle name="쉼표 [0] 3 2 2" xfId="19" xr:uid="{00000000-0005-0000-0000-000028000000}"/>
    <cellStyle name="쉼표 [0] 3 2 2 2" xfId="76" xr:uid="{3400F3E9-4F4A-4CD9-B990-C937C54E5BA4}"/>
    <cellStyle name="쉼표 [0] 8 2 3" xfId="9" xr:uid="{00000000-0005-0000-0000-000029000000}"/>
    <cellStyle name="쉼표 [0] 8 2 3 13" xfId="57" xr:uid="{00000000-0005-0000-0000-00002A000000}"/>
    <cellStyle name="쉼표 [0] 8 2 3 13 2" xfId="79" xr:uid="{FEE48C3F-C548-44AD-B834-ADC27CB875AF}"/>
    <cellStyle name="쉼표 [0] 8 2 3 2" xfId="30" xr:uid="{00000000-0005-0000-0000-00002B000000}"/>
    <cellStyle name="쉼표 [0] 8 2 3 2 2" xfId="78" xr:uid="{A330BFED-7FA9-442C-9365-E5B908BB5963}"/>
    <cellStyle name="쉼표 [0] 8 2 3 3" xfId="74" xr:uid="{0A5EBB80-B909-4EA1-996D-EC27939AFCC3}"/>
    <cellStyle name="제목 3 3 2 2 70 8" xfId="26" xr:uid="{00000000-0005-0000-0000-00002C000000}"/>
    <cellStyle name="제목 3 3 2 2 72 8" xfId="22" xr:uid="{00000000-0005-0000-0000-00002D000000}"/>
    <cellStyle name="제목 3 3 2 72 8" xfId="25" xr:uid="{00000000-0005-0000-0000-00002E000000}"/>
    <cellStyle name="제목 3 3 73 8" xfId="24" xr:uid="{00000000-0005-0000-0000-00002F000000}"/>
    <cellStyle name="표준 11" xfId="4" xr:uid="{00000000-0005-0000-0000-000031000000}"/>
    <cellStyle name="표준 11 2" xfId="35" xr:uid="{00000000-0005-0000-0000-000032000000}"/>
    <cellStyle name="표준 11 4" xfId="61" xr:uid="{00000000-0005-0000-0000-000033000000}"/>
    <cellStyle name="표준 12" xfId="8" xr:uid="{00000000-0005-0000-0000-000034000000}"/>
    <cellStyle name="표준 12 2" xfId="28" xr:uid="{00000000-0005-0000-0000-000035000000}"/>
    <cellStyle name="표준 12 4" xfId="54" xr:uid="{00000000-0005-0000-0000-000036000000}"/>
    <cellStyle name="표준 14" xfId="6" xr:uid="{00000000-0005-0000-0000-000037000000}"/>
    <cellStyle name="표준 14 2" xfId="68" xr:uid="{00000000-0005-0000-0000-000038000000}"/>
    <cellStyle name="표준 14 7" xfId="53" xr:uid="{00000000-0005-0000-0000-000039000000}"/>
    <cellStyle name="표준 16 2 3" xfId="14" xr:uid="{00000000-0005-0000-0000-00003A000000}"/>
    <cellStyle name="표준 2" xfId="5" xr:uid="{00000000-0005-0000-0000-00003B000000}"/>
    <cellStyle name="표준 2 14" xfId="70" xr:uid="{00000000-0005-0000-0000-00003C000000}"/>
    <cellStyle name="표준 2 15" xfId="52" xr:uid="{00000000-0005-0000-0000-00003D000000}"/>
    <cellStyle name="표준 2 2" xfId="16" xr:uid="{00000000-0005-0000-0000-00003E000000}"/>
    <cellStyle name="표준 2 2 2" xfId="15" xr:uid="{00000000-0005-0000-0000-00003F000000}"/>
    <cellStyle name="표준 2 2 2 3" xfId="11" xr:uid="{00000000-0005-0000-0000-000040000000}"/>
    <cellStyle name="표준 2 2 2 3 2" xfId="67" xr:uid="{00000000-0005-0000-0000-000041000000}"/>
    <cellStyle name="표준 2 2 2 3 3" xfId="59" xr:uid="{00000000-0005-0000-0000-000042000000}"/>
    <cellStyle name="표준 2 2 2 5" xfId="60" xr:uid="{00000000-0005-0000-0000-000043000000}"/>
    <cellStyle name="표준 2 3" xfId="23" xr:uid="{00000000-0005-0000-0000-000044000000}"/>
    <cellStyle name="표준 2 3 4" xfId="55" xr:uid="{00000000-0005-0000-0000-000045000000}"/>
    <cellStyle name="표준 3" xfId="3" xr:uid="{00000000-0005-0000-0000-000046000000}"/>
    <cellStyle name="표준 4" xfId="71" xr:uid="{00000000-0005-0000-0000-000047000000}"/>
    <cellStyle name="표준 5" xfId="72" xr:uid="{00000000-0005-0000-0000-000048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theme" Target="theme/theme1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externalLink" Target="externalLinks/externalLink3.xml"/><Relationship Id="rId40" Type="http://schemas.openxmlformats.org/officeDocument/2006/relationships/styles" Target="styles.xml"/><Relationship Id="rId45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externalLink" Target="externalLinks/externalLink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externalLink" Target="externalLinks/externalLink1.xml"/><Relationship Id="rId43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externalLink" Target="externalLinks/externalLink4.xml"/><Relationship Id="rId20" Type="http://schemas.openxmlformats.org/officeDocument/2006/relationships/worksheet" Target="worksheets/sheet20.xml"/><Relationship Id="rId41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1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0</xdr:row>
      <xdr:rowOff>78441</xdr:rowOff>
    </xdr:from>
    <xdr:to>
      <xdr:col>13</xdr:col>
      <xdr:colOff>1187031</xdr:colOff>
      <xdr:row>1</xdr:row>
      <xdr:rowOff>293825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18D2CE05-ACC5-4F32-8840-9F6812A9EEC2}"/>
            </a:ext>
          </a:extLst>
        </xdr:cNvPr>
        <xdr:cNvGrpSpPr/>
      </xdr:nvGrpSpPr>
      <xdr:grpSpPr>
        <a:xfrm>
          <a:off x="8369102" y="78441"/>
          <a:ext cx="1789487" cy="279678"/>
          <a:chOff x="5594618" y="2486562"/>
          <a:chExt cx="6189395" cy="100965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BE9F2CA3-EFEE-7C25-011C-AC813C4A9216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" cstate="print">
            <a:extLst>
              <a:ext uri="{BEBA8EAE-BF5A-486C-A8C5-ECC9F3942E4B}">
                <a14:imgProps xmlns:a14="http://schemas.microsoft.com/office/drawing/2010/main">
                  <a14:imgLayer r:embed="rId2">
                    <a14:imgEffect>
                      <a14:artisticPaintBrush/>
                    </a14:imgEffect>
                  </a14:imgLayer>
                </a14:imgProps>
              </a:ext>
            </a:extLst>
          </a:blip>
          <a:srcRect r="-2522" b="74"/>
          <a:stretch/>
        </xdr:blipFill>
        <xdr:spPr bwMode="auto">
          <a:xfrm>
            <a:off x="5594618" y="2486562"/>
            <a:ext cx="6189395" cy="1009650"/>
          </a:xfrm>
          <a:prstGeom prst="rect">
            <a:avLst/>
          </a:prstGeom>
          <a:noFill/>
          <a:effectLst>
            <a:outerShdw blurRad="76200" dist="25400" dir="3600000" sx="101000" sy="101000" algn="tl" rotWithShape="0">
              <a:prstClr val="black">
                <a:alpha val="47000"/>
              </a:prstClr>
            </a:outerShdw>
          </a:effectLst>
        </xdr:spPr>
      </xdr:pic>
      <xdr:sp macro="" textlink="">
        <xdr:nvSpPr>
          <xdr:cNvPr id="4" name="타원 3">
            <a:extLst>
              <a:ext uri="{FF2B5EF4-FFF2-40B4-BE49-F238E27FC236}">
                <a16:creationId xmlns:a16="http://schemas.microsoft.com/office/drawing/2014/main" id="{1FAE0D15-0E61-5FD0-BBCB-5E58A0625AE2}"/>
              </a:ext>
            </a:extLst>
          </xdr:cNvPr>
          <xdr:cNvSpPr/>
        </xdr:nvSpPr>
        <xdr:spPr>
          <a:xfrm>
            <a:off x="5603875" y="2495550"/>
            <a:ext cx="977900" cy="990600"/>
          </a:xfrm>
          <a:prstGeom prst="ellipse">
            <a:avLst/>
          </a:prstGeom>
          <a:noFill/>
          <a:ln w="2222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495300</xdr:colOff>
      <xdr:row>2</xdr:row>
      <xdr:rowOff>180975</xdr:rowOff>
    </xdr:from>
    <xdr:to>
      <xdr:col>4</xdr:col>
      <xdr:colOff>1659255</xdr:colOff>
      <xdr:row>10</xdr:row>
      <xdr:rowOff>15578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4F6CE45-BEDF-402F-A353-43332AF10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80560" y="897255"/>
          <a:ext cx="1163955" cy="181580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1381125</xdr:colOff>
      <xdr:row>2</xdr:row>
      <xdr:rowOff>76200</xdr:rowOff>
    </xdr:from>
    <xdr:ext cx="2733675" cy="2093879"/>
    <xdr:pic>
      <xdr:nvPicPr>
        <xdr:cNvPr id="2" name="그림 608" descr="케이준프라이.png">
          <a:extLst>
            <a:ext uri="{FF2B5EF4-FFF2-40B4-BE49-F238E27FC236}">
              <a16:creationId xmlns:a16="http://schemas.microsoft.com/office/drawing/2014/main" id="{A0EEA676-697A-4B51-8B3A-0F3287AA7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5" y="800100"/>
          <a:ext cx="2733675" cy="20938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1285875</xdr:colOff>
      <xdr:row>2</xdr:row>
      <xdr:rowOff>47625</xdr:rowOff>
    </xdr:from>
    <xdr:ext cx="3036677" cy="2076450"/>
    <xdr:pic>
      <xdr:nvPicPr>
        <xdr:cNvPr id="2" name="그림 1">
          <a:extLst>
            <a:ext uri="{FF2B5EF4-FFF2-40B4-BE49-F238E27FC236}">
              <a16:creationId xmlns:a16="http://schemas.microsoft.com/office/drawing/2014/main" id="{F9EFA9BD-F35E-4328-B37C-01AD73214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476625" y="771525"/>
          <a:ext cx="3036677" cy="2076450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47625</xdr:colOff>
      <xdr:row>3</xdr:row>
      <xdr:rowOff>57150</xdr:rowOff>
    </xdr:from>
    <xdr:ext cx="2466570" cy="1800225"/>
    <xdr:pic>
      <xdr:nvPicPr>
        <xdr:cNvPr id="2" name="그림 1">
          <a:extLst>
            <a:ext uri="{FF2B5EF4-FFF2-40B4-BE49-F238E27FC236}">
              <a16:creationId xmlns:a16="http://schemas.microsoft.com/office/drawing/2014/main" id="{97094AFE-233E-496F-8E91-238678F44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029075" y="1000125"/>
          <a:ext cx="2466570" cy="1800225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47625</xdr:colOff>
      <xdr:row>2</xdr:row>
      <xdr:rowOff>161925</xdr:rowOff>
    </xdr:from>
    <xdr:ext cx="2114550" cy="1873382"/>
    <xdr:pic>
      <xdr:nvPicPr>
        <xdr:cNvPr id="3" name="그림 2">
          <a:extLst>
            <a:ext uri="{FF2B5EF4-FFF2-40B4-BE49-F238E27FC236}">
              <a16:creationId xmlns:a16="http://schemas.microsoft.com/office/drawing/2014/main" id="{82383BA1-A224-4F9D-9BED-D6033E902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29075" y="885825"/>
          <a:ext cx="2114550" cy="1873382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76200</xdr:colOff>
      <xdr:row>2</xdr:row>
      <xdr:rowOff>152400</xdr:rowOff>
    </xdr:from>
    <xdr:ext cx="2133600" cy="1995771"/>
    <xdr:pic>
      <xdr:nvPicPr>
        <xdr:cNvPr id="2" name="그림 1">
          <a:extLst>
            <a:ext uri="{FF2B5EF4-FFF2-40B4-BE49-F238E27FC236}">
              <a16:creationId xmlns:a16="http://schemas.microsoft.com/office/drawing/2014/main" id="{4BD775ED-AF8F-4002-B6B6-54E407F14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067175" y="904875"/>
          <a:ext cx="2133600" cy="1995771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333375</xdr:colOff>
      <xdr:row>2</xdr:row>
      <xdr:rowOff>152400</xdr:rowOff>
    </xdr:from>
    <xdr:to>
      <xdr:col>5</xdr:col>
      <xdr:colOff>11781</xdr:colOff>
      <xdr:row>10</xdr:row>
      <xdr:rowOff>92075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BF1606E-D1CE-4BA5-AE2A-51CBDD363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18635" y="868680"/>
          <a:ext cx="1690086" cy="19208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333375</xdr:colOff>
      <xdr:row>2</xdr:row>
      <xdr:rowOff>152400</xdr:rowOff>
    </xdr:from>
    <xdr:to>
      <xdr:col>5</xdr:col>
      <xdr:colOff>11781</xdr:colOff>
      <xdr:row>10</xdr:row>
      <xdr:rowOff>92075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44D96D1-9FA9-4878-976D-37421D163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18635" y="868680"/>
          <a:ext cx="1690086" cy="192087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76200</xdr:colOff>
      <xdr:row>2</xdr:row>
      <xdr:rowOff>152400</xdr:rowOff>
    </xdr:from>
    <xdr:ext cx="2133600" cy="1995771"/>
    <xdr:pic>
      <xdr:nvPicPr>
        <xdr:cNvPr id="2" name="그림 1">
          <a:extLst>
            <a:ext uri="{FF2B5EF4-FFF2-40B4-BE49-F238E27FC236}">
              <a16:creationId xmlns:a16="http://schemas.microsoft.com/office/drawing/2014/main" id="{60B61943-6B35-4E86-96FF-609F4FCE2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057650" y="876300"/>
          <a:ext cx="2133600" cy="1995771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114300</xdr:colOff>
      <xdr:row>1</xdr:row>
      <xdr:rowOff>257175</xdr:rowOff>
    </xdr:from>
    <xdr:ext cx="2352675" cy="2417336"/>
    <xdr:pic>
      <xdr:nvPicPr>
        <xdr:cNvPr id="2" name="그림 1" descr="김말이튀김 : 사이드메뉴">
          <a:extLst>
            <a:ext uri="{FF2B5EF4-FFF2-40B4-BE49-F238E27FC236}">
              <a16:creationId xmlns:a16="http://schemas.microsoft.com/office/drawing/2014/main" id="{B75C4AB1-AB38-4D15-9113-19E0475BE1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0" y="647700"/>
          <a:ext cx="2352675" cy="2417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419100</xdr:colOff>
      <xdr:row>0</xdr:row>
      <xdr:rowOff>95250</xdr:rowOff>
    </xdr:from>
    <xdr:to>
      <xdr:col>11</xdr:col>
      <xdr:colOff>540451</xdr:colOff>
      <xdr:row>1</xdr:row>
      <xdr:rowOff>123496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FB880EB0-3E94-42B5-B253-F5771598BCDF}"/>
            </a:ext>
          </a:extLst>
        </xdr:cNvPr>
        <xdr:cNvGrpSpPr/>
      </xdr:nvGrpSpPr>
      <xdr:grpSpPr>
        <a:xfrm>
          <a:off x="8058150" y="95250"/>
          <a:ext cx="2197801" cy="352096"/>
          <a:chOff x="5594618" y="2486562"/>
          <a:chExt cx="6189395" cy="100965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2884E6F3-8E8F-E444-E0F5-DB99F85C3460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" cstate="print">
            <a:extLst>
              <a:ext uri="{BEBA8EAE-BF5A-486C-A8C5-ECC9F3942E4B}">
                <a14:imgProps xmlns:a14="http://schemas.microsoft.com/office/drawing/2010/main">
                  <a14:imgLayer r:embed="rId2">
                    <a14:imgEffect>
                      <a14:artisticPaintBrush/>
                    </a14:imgEffect>
                  </a14:imgLayer>
                </a14:imgProps>
              </a:ext>
            </a:extLst>
          </a:blip>
          <a:srcRect r="-2522" b="74"/>
          <a:stretch/>
        </xdr:blipFill>
        <xdr:spPr bwMode="auto">
          <a:xfrm>
            <a:off x="5594618" y="2486562"/>
            <a:ext cx="6189395" cy="1009650"/>
          </a:xfrm>
          <a:prstGeom prst="rect">
            <a:avLst/>
          </a:prstGeom>
          <a:noFill/>
          <a:effectLst>
            <a:outerShdw blurRad="76200" dist="25400" dir="3600000" sx="101000" sy="101000" algn="tl" rotWithShape="0">
              <a:prstClr val="black">
                <a:alpha val="47000"/>
              </a:prstClr>
            </a:outerShdw>
          </a:effectLst>
        </xdr:spPr>
      </xdr:pic>
      <xdr:sp macro="" textlink="">
        <xdr:nvSpPr>
          <xdr:cNvPr id="4" name="타원 3">
            <a:extLst>
              <a:ext uri="{FF2B5EF4-FFF2-40B4-BE49-F238E27FC236}">
                <a16:creationId xmlns:a16="http://schemas.microsoft.com/office/drawing/2014/main" id="{989D798E-F261-EF66-B60F-5238C40747F9}"/>
              </a:ext>
            </a:extLst>
          </xdr:cNvPr>
          <xdr:cNvSpPr/>
        </xdr:nvSpPr>
        <xdr:spPr>
          <a:xfrm>
            <a:off x="5603875" y="2495550"/>
            <a:ext cx="977900" cy="990600"/>
          </a:xfrm>
          <a:prstGeom prst="ellipse">
            <a:avLst/>
          </a:prstGeom>
          <a:noFill/>
          <a:ln w="2222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19050</xdr:colOff>
      <xdr:row>2</xdr:row>
      <xdr:rowOff>171450</xdr:rowOff>
    </xdr:from>
    <xdr:ext cx="2334642" cy="1971675"/>
    <xdr:pic>
      <xdr:nvPicPr>
        <xdr:cNvPr id="2" name="그림 1">
          <a:extLst>
            <a:ext uri="{FF2B5EF4-FFF2-40B4-BE49-F238E27FC236}">
              <a16:creationId xmlns:a16="http://schemas.microsoft.com/office/drawing/2014/main" id="{2B9C7661-847A-4D2C-AB11-0E4D3FCDF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000500" y="895350"/>
          <a:ext cx="2334642" cy="1971675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1400175</xdr:colOff>
      <xdr:row>2</xdr:row>
      <xdr:rowOff>123825</xdr:rowOff>
    </xdr:from>
    <xdr:to>
      <xdr:col>5</xdr:col>
      <xdr:colOff>530555</xdr:colOff>
      <xdr:row>10</xdr:row>
      <xdr:rowOff>142875</xdr:rowOff>
    </xdr:to>
    <xdr:pic>
      <xdr:nvPicPr>
        <xdr:cNvPr id="3" name="그림 2" descr="닭다리보다 맛있다…닭껍질튀김 출시 행렬 줄이어 | 한국경제">
          <a:extLst>
            <a:ext uri="{FF2B5EF4-FFF2-40B4-BE49-F238E27FC236}">
              <a16:creationId xmlns:a16="http://schemas.microsoft.com/office/drawing/2014/main" id="{9A059F74-87AF-4642-9E9F-0BE43997D5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0925" y="847725"/>
          <a:ext cx="2930855" cy="203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333375</xdr:colOff>
      <xdr:row>2</xdr:row>
      <xdr:rowOff>152400</xdr:rowOff>
    </xdr:from>
    <xdr:to>
      <xdr:col>5</xdr:col>
      <xdr:colOff>11781</xdr:colOff>
      <xdr:row>10</xdr:row>
      <xdr:rowOff>92075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1795B61-F464-4ACF-8E49-9050D7A49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14825" y="876300"/>
          <a:ext cx="1688181" cy="19589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247650</xdr:colOff>
      <xdr:row>3</xdr:row>
      <xdr:rowOff>0</xdr:rowOff>
    </xdr:from>
    <xdr:to>
      <xdr:col>5</xdr:col>
      <xdr:colOff>73025</xdr:colOff>
      <xdr:row>10</xdr:row>
      <xdr:rowOff>9291</xdr:rowOff>
    </xdr:to>
    <xdr:pic>
      <xdr:nvPicPr>
        <xdr:cNvPr id="3" name="그림 2" descr="앙금 가득 한입 미니붕어빵 (팥) 400g 2봉+(슈크림) 400g 2봉 - 샵계부">
          <a:extLst>
            <a:ext uri="{FF2B5EF4-FFF2-40B4-BE49-F238E27FC236}">
              <a16:creationId xmlns:a16="http://schemas.microsoft.com/office/drawing/2014/main" id="{CBE2B207-C713-48E2-85D5-1A936CC1DE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9100" y="942975"/>
          <a:ext cx="1835150" cy="18095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1501775</xdr:colOff>
      <xdr:row>0</xdr:row>
      <xdr:rowOff>0</xdr:rowOff>
    </xdr:from>
    <xdr:to>
      <xdr:col>7</xdr:col>
      <xdr:colOff>48260</xdr:colOff>
      <xdr:row>12</xdr:row>
      <xdr:rowOff>132227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810D42D-3D32-4355-96D9-2757EFA66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2525" y="0"/>
          <a:ext cx="3429000" cy="335929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333375</xdr:colOff>
      <xdr:row>2</xdr:row>
      <xdr:rowOff>152400</xdr:rowOff>
    </xdr:from>
    <xdr:to>
      <xdr:col>5</xdr:col>
      <xdr:colOff>11781</xdr:colOff>
      <xdr:row>10</xdr:row>
      <xdr:rowOff>92075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A465724-C9DF-444C-BDE3-1690FA601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18635" y="868680"/>
          <a:ext cx="1690086" cy="192087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333375</xdr:colOff>
      <xdr:row>2</xdr:row>
      <xdr:rowOff>152400</xdr:rowOff>
    </xdr:from>
    <xdr:to>
      <xdr:col>5</xdr:col>
      <xdr:colOff>11781</xdr:colOff>
      <xdr:row>10</xdr:row>
      <xdr:rowOff>92075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6ADF488-F808-4CD3-B2C5-82E021574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18635" y="868680"/>
          <a:ext cx="1690086" cy="1920875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149859</xdr:colOff>
      <xdr:row>2</xdr:row>
      <xdr:rowOff>161926</xdr:rowOff>
    </xdr:from>
    <xdr:to>
      <xdr:col>5</xdr:col>
      <xdr:colOff>190500</xdr:colOff>
      <xdr:row>10</xdr:row>
      <xdr:rowOff>93980</xdr:rowOff>
    </xdr:to>
    <xdr:pic>
      <xdr:nvPicPr>
        <xdr:cNvPr id="2" name="그림 14">
          <a:extLst>
            <a:ext uri="{FF2B5EF4-FFF2-40B4-BE49-F238E27FC236}">
              <a16:creationId xmlns:a16="http://schemas.microsoft.com/office/drawing/2014/main" id="{E82C88B0-796E-403F-9E6E-11F30C334109}"/>
            </a:ext>
          </a:extLst>
        </xdr:cNvPr>
        <xdr:cNvPicPr/>
      </xdr:nvPicPr>
      <xdr:blipFill rotWithShape="1">
        <a:blip xmlns:r="http://schemas.openxmlformats.org/officeDocument/2006/relationships" r:embed="rId1" cstate="print"/>
        <a:stretch>
          <a:fillRect/>
        </a:stretch>
      </xdr:blipFill>
      <xdr:spPr>
        <a:xfrm>
          <a:off x="4140834" y="914401"/>
          <a:ext cx="2050416" cy="1941829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1740534</xdr:colOff>
      <xdr:row>2</xdr:row>
      <xdr:rowOff>84455</xdr:rowOff>
    </xdr:from>
    <xdr:to>
      <xdr:col>5</xdr:col>
      <xdr:colOff>397157</xdr:colOff>
      <xdr:row>10</xdr:row>
      <xdr:rowOff>34925</xdr:rowOff>
    </xdr:to>
    <xdr:pic>
      <xdr:nvPicPr>
        <xdr:cNvPr id="2" name="그림 906">
          <a:extLst>
            <a:ext uri="{FF2B5EF4-FFF2-40B4-BE49-F238E27FC236}">
              <a16:creationId xmlns:a16="http://schemas.microsoft.com/office/drawing/2014/main" id="{65214540-AF94-4A3D-A9E9-BCFDD4143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0809" y="836930"/>
          <a:ext cx="2457098" cy="19602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1753870</xdr:colOff>
      <xdr:row>2</xdr:row>
      <xdr:rowOff>83184</xdr:rowOff>
    </xdr:from>
    <xdr:to>
      <xdr:col>5</xdr:col>
      <xdr:colOff>459740</xdr:colOff>
      <xdr:row>10</xdr:row>
      <xdr:rowOff>53974</xdr:rowOff>
    </xdr:to>
    <xdr:pic>
      <xdr:nvPicPr>
        <xdr:cNvPr id="2" name="그림 2">
          <a:extLst>
            <a:ext uri="{FF2B5EF4-FFF2-40B4-BE49-F238E27FC236}">
              <a16:creationId xmlns:a16="http://schemas.microsoft.com/office/drawing/2014/main" id="{002E4206-4A74-4616-86E9-F0FA3C1EE4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752" b="21086"/>
        <a:stretch/>
      </xdr:blipFill>
      <xdr:spPr>
        <a:xfrm>
          <a:off x="3954145" y="835659"/>
          <a:ext cx="2506345" cy="198056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0</xdr:colOff>
      <xdr:row>0</xdr:row>
      <xdr:rowOff>78441</xdr:rowOff>
    </xdr:from>
    <xdr:to>
      <xdr:col>14</xdr:col>
      <xdr:colOff>825081</xdr:colOff>
      <xdr:row>1</xdr:row>
      <xdr:rowOff>293825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41FDFE94-2A84-4E8C-B220-9BF572CF9F4A}"/>
            </a:ext>
          </a:extLst>
        </xdr:cNvPr>
        <xdr:cNvGrpSpPr/>
      </xdr:nvGrpSpPr>
      <xdr:grpSpPr>
        <a:xfrm>
          <a:off x="12042321" y="78441"/>
          <a:ext cx="1791189" cy="399081"/>
          <a:chOff x="5594618" y="2486562"/>
          <a:chExt cx="6189395" cy="100965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563A6449-B011-6F1A-AC7A-BA128E04D74F}"/>
              </a:ext>
            </a:extLst>
          </xdr:cNvPr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1" cstate="print">
            <a:extLst>
              <a:ext uri="{BEBA8EAE-BF5A-486C-A8C5-ECC9F3942E4B}">
                <a14:imgProps xmlns:a14="http://schemas.microsoft.com/office/drawing/2010/main">
                  <a14:imgLayer r:embed="rId2">
                    <a14:imgEffect>
                      <a14:artisticPaintBrush/>
                    </a14:imgEffect>
                  </a14:imgLayer>
                </a14:imgProps>
              </a:ext>
            </a:extLst>
          </a:blip>
          <a:srcRect r="-2522" b="74"/>
          <a:stretch/>
        </xdr:blipFill>
        <xdr:spPr bwMode="auto">
          <a:xfrm>
            <a:off x="5594618" y="2486562"/>
            <a:ext cx="6189395" cy="1009650"/>
          </a:xfrm>
          <a:prstGeom prst="rect">
            <a:avLst/>
          </a:prstGeom>
          <a:noFill/>
          <a:effectLst>
            <a:outerShdw blurRad="76200" dist="25400" dir="3600000" sx="101000" sy="101000" algn="tl" rotWithShape="0">
              <a:prstClr val="black">
                <a:alpha val="47000"/>
              </a:prstClr>
            </a:outerShdw>
          </a:effectLst>
        </xdr:spPr>
      </xdr:pic>
      <xdr:sp macro="" textlink="">
        <xdr:nvSpPr>
          <xdr:cNvPr id="4" name="타원 3">
            <a:extLst>
              <a:ext uri="{FF2B5EF4-FFF2-40B4-BE49-F238E27FC236}">
                <a16:creationId xmlns:a16="http://schemas.microsoft.com/office/drawing/2014/main" id="{D31A53E1-5668-2528-46D4-BCD9E9CB2FF1}"/>
              </a:ext>
            </a:extLst>
          </xdr:cNvPr>
          <xdr:cNvSpPr/>
        </xdr:nvSpPr>
        <xdr:spPr>
          <a:xfrm>
            <a:off x="5603875" y="2495550"/>
            <a:ext cx="977900" cy="990600"/>
          </a:xfrm>
          <a:prstGeom prst="ellipse">
            <a:avLst/>
          </a:prstGeom>
          <a:noFill/>
          <a:ln w="22225"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19050</xdr:colOff>
      <xdr:row>2</xdr:row>
      <xdr:rowOff>142875</xdr:rowOff>
    </xdr:from>
    <xdr:to>
      <xdr:col>5</xdr:col>
      <xdr:colOff>606425</xdr:colOff>
      <xdr:row>10</xdr:row>
      <xdr:rowOff>57719</xdr:rowOff>
    </xdr:to>
    <xdr:pic>
      <xdr:nvPicPr>
        <xdr:cNvPr id="2" name="그림 2">
          <a:extLst>
            <a:ext uri="{FF2B5EF4-FFF2-40B4-BE49-F238E27FC236}">
              <a16:creationId xmlns:a16="http://schemas.microsoft.com/office/drawing/2014/main" id="{E9B02D04-C4FF-4198-9C63-EF4B21C74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10025" y="895350"/>
          <a:ext cx="2597150" cy="1924619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1552576</xdr:colOff>
      <xdr:row>2</xdr:row>
      <xdr:rowOff>95250</xdr:rowOff>
    </xdr:from>
    <xdr:to>
      <xdr:col>6</xdr:col>
      <xdr:colOff>282576</xdr:colOff>
      <xdr:row>10</xdr:row>
      <xdr:rowOff>150348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D3C09CF-E4AA-4896-A655-DC3B0A48F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02356" y="811530"/>
          <a:ext cx="3202940" cy="203629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1695450</xdr:colOff>
      <xdr:row>2</xdr:row>
      <xdr:rowOff>142875</xdr:rowOff>
    </xdr:from>
    <xdr:to>
      <xdr:col>5</xdr:col>
      <xdr:colOff>495300</xdr:colOff>
      <xdr:row>10</xdr:row>
      <xdr:rowOff>59624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2F70CFE-24B8-42FD-9C41-FE133B197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45230" y="859155"/>
          <a:ext cx="2602230" cy="189794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358590</xdr:colOff>
      <xdr:row>1</xdr:row>
      <xdr:rowOff>0</xdr:rowOff>
    </xdr:from>
    <xdr:to>
      <xdr:col>10</xdr:col>
      <xdr:colOff>134472</xdr:colOff>
      <xdr:row>3</xdr:row>
      <xdr:rowOff>15294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6497BA9-661A-3B65-24C1-DE1BE8F49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62684" y="224118"/>
          <a:ext cx="4347882" cy="62489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667869</xdr:colOff>
      <xdr:row>3</xdr:row>
      <xdr:rowOff>283779</xdr:rowOff>
    </xdr:from>
    <xdr:to>
      <xdr:col>14</xdr:col>
      <xdr:colOff>0</xdr:colOff>
      <xdr:row>6</xdr:row>
      <xdr:rowOff>157655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B77174C0-1316-4F35-9EEE-A069D98A3EB6}"/>
            </a:ext>
          </a:extLst>
        </xdr:cNvPr>
        <xdr:cNvSpPr/>
      </xdr:nvSpPr>
      <xdr:spPr>
        <a:xfrm>
          <a:off x="7899249" y="885759"/>
          <a:ext cx="4536591" cy="750176"/>
        </a:xfrm>
        <a:prstGeom prst="rect">
          <a:avLst/>
        </a:prstGeom>
        <a:noFill/>
        <a:ln w="57150">
          <a:solidFill>
            <a:srgbClr val="C0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574299</xdr:colOff>
      <xdr:row>1</xdr:row>
      <xdr:rowOff>196441</xdr:rowOff>
    </xdr:from>
    <xdr:to>
      <xdr:col>13</xdr:col>
      <xdr:colOff>556993</xdr:colOff>
      <xdr:row>3</xdr:row>
      <xdr:rowOff>55132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36D217-ED00-4617-B3A0-88DCA8C9729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artisticPaintBrush/>
                  </a14:imgEffect>
                </a14:imgLayer>
              </a14:imgProps>
            </a:ext>
          </a:extLst>
        </a:blip>
        <a:srcRect r="-2522" b="74"/>
        <a:stretch/>
      </xdr:blipFill>
      <xdr:spPr bwMode="auto">
        <a:xfrm>
          <a:off x="9200139" y="196441"/>
          <a:ext cx="3122134" cy="460671"/>
        </a:xfrm>
        <a:prstGeom prst="rect">
          <a:avLst/>
        </a:prstGeom>
        <a:noFill/>
        <a:effectLst>
          <a:outerShdw blurRad="76200" dist="25400" dir="3600000" sx="101000" sy="101000" algn="tl" rotWithShape="0">
            <a:prstClr val="black">
              <a:alpha val="47000"/>
            </a:prst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667869</xdr:colOff>
      <xdr:row>2</xdr:row>
      <xdr:rowOff>283779</xdr:rowOff>
    </xdr:from>
    <xdr:to>
      <xdr:col>14</xdr:col>
      <xdr:colOff>0</xdr:colOff>
      <xdr:row>5</xdr:row>
      <xdr:rowOff>157655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7860886" y="894693"/>
          <a:ext cx="3661079" cy="780393"/>
        </a:xfrm>
        <a:prstGeom prst="rect">
          <a:avLst/>
        </a:prstGeom>
        <a:noFill/>
        <a:ln w="57150">
          <a:solidFill>
            <a:srgbClr val="C0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574299</xdr:colOff>
      <xdr:row>0</xdr:row>
      <xdr:rowOff>196441</xdr:rowOff>
    </xdr:from>
    <xdr:to>
      <xdr:col>13</xdr:col>
      <xdr:colOff>556993</xdr:colOff>
      <xdr:row>2</xdr:row>
      <xdr:rowOff>55132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52BA5D7-43A8-4892-34DC-7D8A64D0AC0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artisticPaintBrush/>
                  </a14:imgEffect>
                </a14:imgLayer>
              </a14:imgProps>
            </a:ext>
          </a:extLst>
        </a:blip>
        <a:srcRect r="-2522" b="74"/>
        <a:stretch/>
      </xdr:blipFill>
      <xdr:spPr bwMode="auto">
        <a:xfrm>
          <a:off x="9054911" y="196441"/>
          <a:ext cx="2958976" cy="468291"/>
        </a:xfrm>
        <a:prstGeom prst="rect">
          <a:avLst/>
        </a:prstGeom>
        <a:noFill/>
        <a:effectLst>
          <a:outerShdw blurRad="76200" dist="25400" dir="3600000" sx="101000" sy="101000" algn="tl" rotWithShape="0">
            <a:prstClr val="black">
              <a:alpha val="47000"/>
            </a:prst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435609</xdr:colOff>
      <xdr:row>2</xdr:row>
      <xdr:rowOff>57151</xdr:rowOff>
    </xdr:from>
    <xdr:to>
      <xdr:col>5</xdr:col>
      <xdr:colOff>657225</xdr:colOff>
      <xdr:row>10</xdr:row>
      <xdr:rowOff>180975</xdr:rowOff>
    </xdr:to>
    <xdr:pic>
      <xdr:nvPicPr>
        <xdr:cNvPr id="2" name="그림 14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 rotWithShape="1">
        <a:blip xmlns:r="http://schemas.openxmlformats.org/officeDocument/2006/relationships" r:embed="rId1" cstate="print"/>
        <a:stretch>
          <a:fillRect/>
        </a:stretch>
      </xdr:blipFill>
      <xdr:spPr>
        <a:xfrm>
          <a:off x="4426584" y="800101"/>
          <a:ext cx="2231391" cy="213359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495300</xdr:colOff>
      <xdr:row>2</xdr:row>
      <xdr:rowOff>180975</xdr:rowOff>
    </xdr:from>
    <xdr:to>
      <xdr:col>4</xdr:col>
      <xdr:colOff>1659255</xdr:colOff>
      <xdr:row>10</xdr:row>
      <xdr:rowOff>15578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9BEA0AC-7B4E-4AF1-84E0-0538A685C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76750" y="904875"/>
          <a:ext cx="1171575" cy="185009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152400</xdr:colOff>
      <xdr:row>2</xdr:row>
      <xdr:rowOff>104775</xdr:rowOff>
    </xdr:from>
    <xdr:ext cx="2305050" cy="2094952"/>
    <xdr:pic>
      <xdr:nvPicPr>
        <xdr:cNvPr id="3" name="그림 2" descr="하림 팝콘치킨 1kg">
          <a:extLst>
            <a:ext uri="{FF2B5EF4-FFF2-40B4-BE49-F238E27FC236}">
              <a16:creationId xmlns:a16="http://schemas.microsoft.com/office/drawing/2014/main" id="{EAD778AF-7FFB-4336-9213-6A698E5214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3850" y="828675"/>
          <a:ext cx="2305050" cy="2094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C:\Users\GENESIS\Desktop\&#44544;&#47196;&#48268;%20&#50629;&#47924;\&#50868;&#50689;\&#44397;&#44032;&#48324;\&#51064;&#45768;\New\BOM\241126%20BOM_V2.xlsx" TargetMode="External"/><Relationship Id="rId1" Type="http://schemas.openxmlformats.org/officeDocument/2006/relationships/externalLinkPath" Target="https://bbqglobal-my.sharepoint.com/Users/GENESIS/Desktop/&#44544;&#47196;&#48268;%20&#50629;&#47924;/&#50868;&#50689;/&#44397;&#44032;&#48324;/&#51064;&#45768;/New/BOM/241126%20BOM_V2.xlsx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GENESIS\Desktop\bb.q%20global\&#54620;&#44397;&#50629;&#47924;\%23.%20&#50868;&#50689;&#54016;\%23.%20&#51064;&#46020;&#45348;&#49884;&#50500;\3.%20BOM\&#52572;&#51333;&#48376;\CWS\250916_BOM_(INDONESIA)_UPDATE%20CWS_SEP(Final)v2.xlsx" TargetMode="External"/><Relationship Id="rId1" Type="http://schemas.openxmlformats.org/officeDocument/2006/relationships/externalLinkPath" Target="file:///C:\Users\GENESIS\Desktop\bb.q%20global\&#54620;&#44397;&#50629;&#47924;\%23.%20&#50868;&#50689;&#54016;\%23.%20&#51064;&#46020;&#45348;&#49884;&#50500;\3.%20BOM\&#52572;&#51333;&#48376;\CWS\250916_BOM_(INDONESIA)_UPDATE%20CWS_SEP(Final)v2.xlsx" TargetMode="External"/></Relationships>
</file>

<file path=xl/externalLinks/_rels/externalLink3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GENESIS\Desktop\bb.q%20global\&#54620;&#44397;&#50629;&#47924;\%23.%20&#50868;&#50689;&#54016;\%23.%20&#51064;&#46020;&#45348;&#49884;&#50500;\9.%20&#50868;&#50689;&#44288;&#47532;\%23.%20Sales%20mix\(25.SEP)BBQ_Chicken_Indonesia%20COGS%20TOOL%20.xlsx" TargetMode="External"/><Relationship Id="rId1" Type="http://schemas.openxmlformats.org/officeDocument/2006/relationships/externalLinkPath" Target="file:///C:\Users\GENESIS\Desktop\bb.q%20global\&#54620;&#44397;&#50629;&#47924;\%23.%20&#50868;&#50689;&#54016;\%23.%20&#51064;&#46020;&#45348;&#49884;&#50500;\9.%20&#50868;&#50689;&#44288;&#47532;\%23.%20Sales%20mix\(25.SEP)BBQ_Chicken_Indonesia%20COGS%20TOOL%20.xlsx" TargetMode="External"/></Relationships>
</file>

<file path=xl/externalLinks/_rels/externalLink4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D:\SO\November\250916_BOM_(INDONESIA)_UPDATE_CWS_NOV_(FINAL_VERSION).xlsx" TargetMode="External"/><Relationship Id="rId1" Type="http://schemas.openxmlformats.org/officeDocument/2006/relationships/externalLinkPath" Target="/SO/November/250916_BOM_(INDONESIA)_UPDATE_CWS_NOV_(FINAL_VERSION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MasterSheet"/>
      <sheetName val="ORDER(Back)"/>
      <sheetName val="CK"/>
      <sheetName val="Package List"/>
      <sheetName val="ORDER(SUMMARIZE)"/>
      <sheetName val="ORDER(Vege)"/>
      <sheetName val="ORDER(Frozen)"/>
      <sheetName val="Sample"/>
      <sheetName val="COSTING, SALESMIX"/>
      <sheetName val="GFC Rice Combo(1pc)"/>
      <sheetName val="GFC Rice Combo(2pc)"/>
      <sheetName val="Hot Spicy Rice Combo(1pc)"/>
      <sheetName val="Hot Spicy Rice Combo(2pc)"/>
      <sheetName val="Cheesling Rice Combo(1pc)"/>
      <sheetName val="Cheesling Rice Combo(2pc)"/>
      <sheetName val="Soy Garlic Rice Combo(1p)"/>
      <sheetName val="Soy Garlic Rice Combo(2p)"/>
      <sheetName val="Mala Hot Rice Combo(1p)"/>
      <sheetName val="Mala Hot Rice Combo(2p)"/>
      <sheetName val="Gangjeong Rice Combo(1p)"/>
      <sheetName val="Gangjeong Rice Combo(2p)"/>
      <sheetName val="GFC Fries Combo(1pc)"/>
      <sheetName val="GFC Fries Combo(2pc)"/>
      <sheetName val="Hot Spicy Fries Combo(1pc)"/>
      <sheetName val="Hot Spicy Fries Combo(2pc)"/>
      <sheetName val="Cheesling Fries Combo(1pc)"/>
      <sheetName val="Cheesling Fries Combo(2pc)"/>
      <sheetName val="Soy Garlic Fries Combo(1pc)"/>
      <sheetName val="Soy Garlic Fries Combo(2pc)"/>
      <sheetName val="Mala Hot Fries Combo(1pc)"/>
      <sheetName val="Mala Hot Fries Combo(2pc)"/>
      <sheetName val="Gangjeong Fries Combo(1p)"/>
      <sheetName val="Gangjeong Fries Combo(2p)"/>
      <sheetName val="GFC TBKI Combo(1pc)"/>
      <sheetName val="GFC TBKI Combo(2pc)"/>
      <sheetName val="Hot Spicy TBKI Combo(1pc)"/>
      <sheetName val="Hot Spicy TBKI Combo(2pc)"/>
      <sheetName val="Cheesling TBKI Combo(1pc)"/>
      <sheetName val="Cheesling TBKI Combo(2pc)"/>
      <sheetName val="Soy Garlic TBKI Combo(1pc)"/>
      <sheetName val="Soy Garlic TBKI Combo(2pc)"/>
      <sheetName val="Mala Hot TBKI Combo(1pc)"/>
      <sheetName val="Mala Hot TBKI Combo(2pc)"/>
      <sheetName val="Gangjeong TBKI Combo(1p)"/>
      <sheetName val="Gangjeong TBKI Combo(2p)"/>
      <sheetName val="Hot Spicy Cupbap"/>
      <sheetName val="Soy Garlic Cupbap"/>
      <sheetName val="Mala Hot Cupbap"/>
      <sheetName val="2X Spicy Cupbap"/>
      <sheetName val="Golden Fried Chicken (BI)"/>
      <sheetName val="Hot Spicy Chicken (BI)"/>
      <sheetName val="Cheesling(BI)"/>
      <sheetName val="Mala Hot(BI)"/>
      <sheetName val="Soy Garlic(BI)"/>
      <sheetName val="Gangjeong(BI)"/>
      <sheetName val="Chicken Tender"/>
      <sheetName val="Popcorn Chicken"/>
      <sheetName val="Coco-cole"/>
      <sheetName val="Asian Pickle"/>
      <sheetName val="French Fries"/>
      <sheetName val="Cheese stick"/>
      <sheetName val="Fried Dumpling"/>
      <sheetName val="Coleslaw"/>
      <sheetName val="Seaweed Roll"/>
      <sheetName val="Cheeseball"/>
      <sheetName val="Chicken Skin"/>
      <sheetName val="Corn Dog"/>
      <sheetName val="Fish Bread"/>
      <sheetName val="Tteokbokki"/>
      <sheetName val="Rice"/>
      <sheetName val="Japchae"/>
      <sheetName val="2x Spicy Noodle"/>
    </sheetNames>
    <sheetDataSet>
      <sheetData sheetId="0" refreshError="1">
        <row r="6">
          <cell r="C6" t="str">
            <v>P001</v>
          </cell>
          <cell r="D6" t="str">
            <v>올리브치킨용배터믹스</v>
          </cell>
          <cell r="E6" t="str">
            <v>Battering Powder Mix</v>
          </cell>
          <cell r="G6" t="str">
            <v>5kg*4pack</v>
          </cell>
          <cell r="H6">
            <v>20000</v>
          </cell>
          <cell r="I6">
            <v>725191</v>
          </cell>
          <cell r="K6">
            <v>0.85</v>
          </cell>
          <cell r="L6" t="str">
            <v>g</v>
          </cell>
          <cell r="M6">
            <v>42.65829411764706</v>
          </cell>
          <cell r="O6">
            <v>42.65829411764706</v>
          </cell>
        </row>
        <row r="7">
          <cell r="C7" t="str">
            <v>P002</v>
          </cell>
          <cell r="D7" t="str">
            <v>허니갈릭용배터믹스</v>
          </cell>
          <cell r="E7" t="str">
            <v xml:space="preserve">Battering Powder Mix C </v>
          </cell>
          <cell r="G7" t="str">
            <v>2kg*10pack</v>
          </cell>
          <cell r="H7">
            <v>20000</v>
          </cell>
          <cell r="I7">
            <v>651817</v>
          </cell>
          <cell r="K7">
            <v>0.98</v>
          </cell>
          <cell r="L7" t="str">
            <v>g</v>
          </cell>
          <cell r="M7">
            <v>33.255969387755108</v>
          </cell>
          <cell r="O7">
            <v>33.255969387755108</v>
          </cell>
        </row>
        <row r="8">
          <cell r="C8" t="str">
            <v>P003</v>
          </cell>
          <cell r="D8" t="str">
            <v>올리브치킨용마리네이드</v>
          </cell>
          <cell r="E8" t="str">
            <v xml:space="preserve">Marinade Powder Mix </v>
          </cell>
          <cell r="G8" t="str">
            <v>5kg*4pack</v>
          </cell>
          <cell r="H8">
            <v>20000</v>
          </cell>
          <cell r="I8">
            <v>1335690</v>
          </cell>
          <cell r="K8">
            <v>0.95</v>
          </cell>
          <cell r="L8" t="str">
            <v>g</v>
          </cell>
          <cell r="M8">
            <v>70.299473684210525</v>
          </cell>
          <cell r="O8">
            <v>70.299473684210525</v>
          </cell>
        </row>
        <row r="9">
          <cell r="C9" t="str">
            <v>P007</v>
          </cell>
          <cell r="D9" t="str">
            <v>염장제</v>
          </cell>
          <cell r="E9" t="str">
            <v>Pickle Solution Powder Mix</v>
          </cell>
          <cell r="G9" t="str">
            <v>5kg*4pack</v>
          </cell>
          <cell r="H9">
            <v>20000</v>
          </cell>
          <cell r="I9">
            <v>783961</v>
          </cell>
          <cell r="K9">
            <v>0.98</v>
          </cell>
          <cell r="L9" t="str">
            <v>g</v>
          </cell>
          <cell r="M9">
            <v>39.998010204081638</v>
          </cell>
          <cell r="O9">
            <v>39.998010204081638</v>
          </cell>
        </row>
        <row r="10">
          <cell r="C10" t="str">
            <v>P008</v>
          </cell>
          <cell r="D10" t="str">
            <v>크런치버터시즈닝</v>
          </cell>
          <cell r="E10" t="str">
            <v>Crunch Butter Seasoning S</v>
          </cell>
          <cell r="G10" t="str">
            <v>60g*30ea*6bag</v>
          </cell>
          <cell r="H10">
            <v>10800</v>
          </cell>
          <cell r="K10">
            <v>0.99</v>
          </cell>
          <cell r="L10" t="str">
            <v>g</v>
          </cell>
          <cell r="M10">
            <v>0</v>
          </cell>
          <cell r="O10">
            <v>0</v>
          </cell>
        </row>
        <row r="11">
          <cell r="C11" t="str">
            <v>P011</v>
          </cell>
          <cell r="D11" t="str">
            <v>블랙페퍼시즈닝</v>
          </cell>
          <cell r="E11" t="str">
            <v xml:space="preserve">Black Pepper Seasoning </v>
          </cell>
          <cell r="G11" t="str">
            <v>15g*50pack*5bag</v>
          </cell>
          <cell r="H11">
            <v>3750</v>
          </cell>
          <cell r="K11">
            <v>0.98</v>
          </cell>
          <cell r="L11" t="str">
            <v>g</v>
          </cell>
          <cell r="M11">
            <v>0</v>
          </cell>
          <cell r="O11">
            <v>0</v>
          </cell>
        </row>
        <row r="12">
          <cell r="C12" t="str">
            <v>P012</v>
          </cell>
          <cell r="D12" t="str">
            <v>치즈맛시즈닝</v>
          </cell>
          <cell r="E12" t="str">
            <v xml:space="preserve">Cheese Taste Seasoning Mix </v>
          </cell>
          <cell r="G12" t="str">
            <v>500g*15pack</v>
          </cell>
          <cell r="H12">
            <v>7500</v>
          </cell>
          <cell r="I12">
            <v>1238185</v>
          </cell>
          <cell r="K12">
            <v>0.98</v>
          </cell>
          <cell r="L12" t="str">
            <v>g</v>
          </cell>
          <cell r="M12">
            <v>168.46054421768707</v>
          </cell>
          <cell r="O12">
            <v>168.46054421768707</v>
          </cell>
        </row>
        <row r="13">
          <cell r="C13" t="str">
            <v>P013</v>
          </cell>
          <cell r="D13" t="str">
            <v>치킨무파우더</v>
          </cell>
          <cell r="E13" t="str">
            <v xml:space="preserve">SAF Powder </v>
          </cell>
          <cell r="G13" t="str">
            <v>10kg/pack</v>
          </cell>
          <cell r="H13">
            <v>20000</v>
          </cell>
          <cell r="K13">
            <v>0.98</v>
          </cell>
          <cell r="L13" t="str">
            <v>g</v>
          </cell>
          <cell r="M13">
            <v>0</v>
          </cell>
          <cell r="O13">
            <v>0</v>
          </cell>
        </row>
        <row r="14">
          <cell r="C14" t="str">
            <v>P015</v>
          </cell>
          <cell r="D14" t="str">
            <v>레드착착시즈닝</v>
          </cell>
          <cell r="E14" t="str">
            <v>Red Spicy Seasoning</v>
          </cell>
          <cell r="G14" t="str">
            <v>30g*50ea*6bag</v>
          </cell>
          <cell r="H14">
            <v>9000</v>
          </cell>
          <cell r="K14">
            <v>0.98</v>
          </cell>
          <cell r="L14" t="str">
            <v>g</v>
          </cell>
          <cell r="M14">
            <v>0</v>
          </cell>
          <cell r="O14">
            <v>0</v>
          </cell>
        </row>
        <row r="15">
          <cell r="C15" t="str">
            <v>S002</v>
          </cell>
          <cell r="D15" t="str">
            <v>매운양념소스</v>
          </cell>
          <cell r="E15" t="str">
            <v>Hot Spicy Sauce</v>
          </cell>
          <cell r="G15" t="str">
            <v>2kg*5pack</v>
          </cell>
          <cell r="H15">
            <v>10000</v>
          </cell>
          <cell r="I15">
            <v>454847</v>
          </cell>
          <cell r="K15">
            <v>0.96</v>
          </cell>
          <cell r="L15" t="str">
            <v>g</v>
          </cell>
          <cell r="M15">
            <v>47.379895833333329</v>
          </cell>
          <cell r="O15">
            <v>47.379895833333329</v>
          </cell>
        </row>
        <row r="16">
          <cell r="C16" t="str">
            <v>S004</v>
          </cell>
          <cell r="D16" t="str">
            <v>허니갈릭용소스</v>
          </cell>
          <cell r="E16" t="str">
            <v>Garlic Flavour Honey Sauce</v>
          </cell>
          <cell r="G16" t="str">
            <v>2kg*5pack</v>
          </cell>
          <cell r="H16">
            <v>10000</v>
          </cell>
          <cell r="K16">
            <v>0.96</v>
          </cell>
          <cell r="L16" t="str">
            <v>g</v>
          </cell>
          <cell r="M16">
            <v>0</v>
          </cell>
          <cell r="O16">
            <v>0</v>
          </cell>
        </row>
        <row r="17">
          <cell r="C17" t="str">
            <v>S009</v>
          </cell>
          <cell r="D17" t="str">
            <v>빠리간장소스</v>
          </cell>
          <cell r="E17" t="str">
            <v>Deri Sauce Mix(P_Type)</v>
          </cell>
          <cell r="G17" t="str">
            <v>2kg*5pack</v>
          </cell>
          <cell r="H17">
            <v>10000</v>
          </cell>
          <cell r="K17">
            <v>0.96</v>
          </cell>
          <cell r="L17" t="str">
            <v>g</v>
          </cell>
          <cell r="M17">
            <v>0</v>
          </cell>
          <cell r="O17">
            <v>0</v>
          </cell>
        </row>
        <row r="18">
          <cell r="C18" t="str">
            <v>S010</v>
          </cell>
          <cell r="D18" t="str">
            <v>마라핫소스</v>
          </cell>
          <cell r="E18" t="str">
            <v>Mala Hot Sauce</v>
          </cell>
          <cell r="G18" t="str">
            <v>3kg*4pack</v>
          </cell>
          <cell r="H18">
            <v>12000</v>
          </cell>
          <cell r="I18">
            <v>644123</v>
          </cell>
          <cell r="K18">
            <v>0.96</v>
          </cell>
          <cell r="L18" t="str">
            <v>g</v>
          </cell>
          <cell r="M18">
            <v>55.913454861111113</v>
          </cell>
          <cell r="O18">
            <v>55.913454861111113</v>
          </cell>
        </row>
        <row r="19">
          <cell r="C19" t="str">
            <v>S011</v>
          </cell>
          <cell r="D19" t="str">
            <v>신올떡볶이소스</v>
          </cell>
          <cell r="E19" t="str">
            <v>Shin Alltokkbokki Sauce</v>
          </cell>
          <cell r="G19" t="str">
            <v>2kg*5pack</v>
          </cell>
          <cell r="H19">
            <v>10000</v>
          </cell>
          <cell r="K19">
            <v>0.96</v>
          </cell>
          <cell r="L19" t="str">
            <v>g</v>
          </cell>
          <cell r="M19">
            <v>0</v>
          </cell>
          <cell r="O19">
            <v>0</v>
          </cell>
        </row>
        <row r="20">
          <cell r="C20" t="str">
            <v>S015</v>
          </cell>
          <cell r="D20" t="str">
            <v>BBQ양념소스</v>
          </cell>
          <cell r="E20" t="str">
            <v>BBQ New Yangnyum Sauce</v>
          </cell>
          <cell r="G20" t="str">
            <v>2kg*5pack</v>
          </cell>
          <cell r="H20">
            <v>10000</v>
          </cell>
          <cell r="K20">
            <v>0.96</v>
          </cell>
          <cell r="L20" t="str">
            <v>g</v>
          </cell>
          <cell r="M20">
            <v>0</v>
          </cell>
          <cell r="O20">
            <v>0</v>
          </cell>
        </row>
        <row r="21">
          <cell r="C21" t="str">
            <v>S016</v>
          </cell>
          <cell r="D21" t="str">
            <v>메이플버터갈릭소스</v>
          </cell>
          <cell r="E21" t="str">
            <v>Maple Butter Garlic Sauce</v>
          </cell>
          <cell r="G21" t="str">
            <v>2kg*5bag</v>
          </cell>
          <cell r="H21">
            <v>10000</v>
          </cell>
          <cell r="K21">
            <v>0.96</v>
          </cell>
          <cell r="L21" t="str">
            <v>g</v>
          </cell>
          <cell r="M21">
            <v>0</v>
          </cell>
          <cell r="O21">
            <v>0</v>
          </cell>
        </row>
        <row r="22">
          <cell r="C22" t="str">
            <v>S017</v>
          </cell>
          <cell r="D22" t="str">
            <v>소이갈릭용소스</v>
          </cell>
          <cell r="E22" t="str">
            <v>Garlic Flavor Soy Sauce</v>
          </cell>
          <cell r="G22" t="str">
            <v>2kg*5bag</v>
          </cell>
          <cell r="H22">
            <v>10000</v>
          </cell>
          <cell r="I22">
            <v>490465</v>
          </cell>
          <cell r="K22">
            <v>0.96</v>
          </cell>
          <cell r="L22" t="str">
            <v>g</v>
          </cell>
          <cell r="M22">
            <v>51.09010416666667</v>
          </cell>
          <cell r="O22">
            <v>51.09010416666667</v>
          </cell>
        </row>
        <row r="23">
          <cell r="C23" t="str">
            <v>S018</v>
          </cell>
          <cell r="D23" t="str">
            <v>강정소스</v>
          </cell>
          <cell r="E23" t="str">
            <v>Honey Glaze Sauce</v>
          </cell>
          <cell r="G23" t="str">
            <v>2kg*5bag</v>
          </cell>
          <cell r="H23">
            <v>10000</v>
          </cell>
          <cell r="I23">
            <v>543181</v>
          </cell>
          <cell r="K23">
            <v>0.96</v>
          </cell>
          <cell r="L23" t="str">
            <v>g</v>
          </cell>
          <cell r="M23">
            <v>56.581354166666671</v>
          </cell>
          <cell r="O23">
            <v>56.581354166666671</v>
          </cell>
        </row>
        <row r="24">
          <cell r="C24" t="str">
            <v>S020</v>
          </cell>
          <cell r="D24" t="str">
            <v>레몬보이</v>
          </cell>
          <cell r="E24" t="str">
            <v>Lemon Boi</v>
          </cell>
          <cell r="G24" t="str">
            <v>30ea</v>
          </cell>
          <cell r="H24">
            <v>30</v>
          </cell>
          <cell r="K24">
            <v>0.96</v>
          </cell>
          <cell r="L24" t="str">
            <v>ea</v>
          </cell>
          <cell r="M24">
            <v>0</v>
          </cell>
          <cell r="O24">
            <v>0</v>
          </cell>
        </row>
        <row r="25">
          <cell r="C25" t="str">
            <v>S021</v>
          </cell>
          <cell r="D25" t="str">
            <v>켓첩</v>
          </cell>
          <cell r="E25" t="str">
            <v>Ketchup</v>
          </cell>
          <cell r="G25" t="str">
            <v>1Kg*10pack</v>
          </cell>
          <cell r="H25">
            <v>10000</v>
          </cell>
          <cell r="I25">
            <v>156400</v>
          </cell>
          <cell r="J25">
            <v>10.090322580645161</v>
          </cell>
          <cell r="K25">
            <v>0.96</v>
          </cell>
          <cell r="L25" t="str">
            <v>g</v>
          </cell>
          <cell r="M25">
            <v>16.291666666666668</v>
          </cell>
          <cell r="O25">
            <v>16.291666666666668</v>
          </cell>
        </row>
        <row r="26">
          <cell r="C26" t="str">
            <v>S039</v>
          </cell>
          <cell r="D26" t="str">
            <v>마요네즈</v>
          </cell>
          <cell r="E26" t="str">
            <v>Mayonnaise</v>
          </cell>
          <cell r="G26" t="str">
            <v>3ltr*4tin</v>
          </cell>
          <cell r="H26">
            <v>12000</v>
          </cell>
          <cell r="I26">
            <v>850000</v>
          </cell>
          <cell r="J26">
            <v>54.838709677419352</v>
          </cell>
          <cell r="K26">
            <v>0.99</v>
          </cell>
          <cell r="L26" t="str">
            <v>g</v>
          </cell>
          <cell r="M26">
            <v>71.54882154882155</v>
          </cell>
          <cell r="O26">
            <v>71.54882154882155</v>
          </cell>
        </row>
        <row r="27">
          <cell r="C27" t="str">
            <v>S040</v>
          </cell>
          <cell r="D27" t="str">
            <v>불닭소스</v>
          </cell>
          <cell r="E27" t="str">
            <v>Buldak Sauce(Spicy Chicken)</v>
          </cell>
          <cell r="G27" t="str">
            <v>200g</v>
          </cell>
          <cell r="H27">
            <v>200</v>
          </cell>
          <cell r="I27">
            <v>167000</v>
          </cell>
          <cell r="J27">
            <v>10.774193548387096</v>
          </cell>
          <cell r="K27">
            <v>0.99</v>
          </cell>
          <cell r="L27" t="str">
            <v>g</v>
          </cell>
          <cell r="M27">
            <v>843.43434343434342</v>
          </cell>
          <cell r="O27">
            <v>843.43434343434342</v>
          </cell>
        </row>
        <row r="28">
          <cell r="C28" t="str">
            <v>CH001</v>
          </cell>
          <cell r="D28" t="str">
            <v>신선육 (1.3kg)</v>
          </cell>
          <cell r="E28" t="str">
            <v>Injected Whole Chicken (1.3kg)</v>
          </cell>
          <cell r="G28" t="str">
            <v>1.3kg</v>
          </cell>
          <cell r="H28">
            <v>1300</v>
          </cell>
          <cell r="I28">
            <v>38400</v>
          </cell>
          <cell r="J28">
            <v>2.4774193548387098</v>
          </cell>
          <cell r="K28">
            <v>0.95</v>
          </cell>
          <cell r="L28" t="str">
            <v>g</v>
          </cell>
          <cell r="M28">
            <v>31.093117408906885</v>
          </cell>
          <cell r="O28">
            <v>31.093117408906885</v>
          </cell>
        </row>
        <row r="29">
          <cell r="C29" t="str">
            <v>CH008</v>
          </cell>
          <cell r="D29" t="str">
            <v>순살원육 (엉치)</v>
          </cell>
          <cell r="E29" t="str">
            <v>Boneless Chicken (Thigh)</v>
          </cell>
          <cell r="G29" t="str">
            <v>1Kg</v>
          </cell>
          <cell r="H29">
            <v>1000</v>
          </cell>
          <cell r="I29">
            <v>42600</v>
          </cell>
          <cell r="J29">
            <v>2.7483870967741937</v>
          </cell>
          <cell r="K29">
            <v>0.98</v>
          </cell>
          <cell r="L29" t="str">
            <v>g</v>
          </cell>
          <cell r="M29">
            <v>43.469387755102041</v>
          </cell>
          <cell r="O29">
            <v>43.469387755102041</v>
          </cell>
        </row>
        <row r="30">
          <cell r="C30" t="str">
            <v>CH009</v>
          </cell>
          <cell r="D30" t="str">
            <v>닭 껍질</v>
          </cell>
          <cell r="E30" t="str">
            <v>Chicken Skin</v>
          </cell>
          <cell r="G30" t="str">
            <v>1Kg</v>
          </cell>
          <cell r="H30">
            <v>1000</v>
          </cell>
          <cell r="I30">
            <v>36000</v>
          </cell>
          <cell r="J30">
            <v>2.3225806451612905</v>
          </cell>
          <cell r="K30">
            <v>0.98</v>
          </cell>
          <cell r="L30" t="str">
            <v>g</v>
          </cell>
          <cell r="M30">
            <v>36.734693877551024</v>
          </cell>
          <cell r="O30">
            <v>36.734693877551024</v>
          </cell>
        </row>
        <row r="31">
          <cell r="C31" t="str">
            <v>CH012</v>
          </cell>
          <cell r="D31" t="str">
            <v>텐더(닭가슴살)</v>
          </cell>
          <cell r="E31" t="str">
            <v>Tender(Breast)</v>
          </cell>
          <cell r="G31" t="str">
            <v>1kg</v>
          </cell>
          <cell r="H31">
            <v>1000</v>
          </cell>
          <cell r="I31">
            <v>48000</v>
          </cell>
          <cell r="J31">
            <v>3.096774193548387</v>
          </cell>
          <cell r="K31">
            <v>0.98</v>
          </cell>
          <cell r="L31" t="str">
            <v>g</v>
          </cell>
          <cell r="M31">
            <v>48.979591836734691</v>
          </cell>
          <cell r="O31">
            <v>48.979591836734691</v>
          </cell>
        </row>
        <row r="32">
          <cell r="C32" t="str">
            <v>M016</v>
          </cell>
          <cell r="D32" t="str">
            <v>어묵</v>
          </cell>
          <cell r="E32" t="str">
            <v>Fish Cake</v>
          </cell>
          <cell r="G32" t="str">
            <v>1kg</v>
          </cell>
          <cell r="H32">
            <v>1000</v>
          </cell>
          <cell r="I32">
            <v>74911.680000000008</v>
          </cell>
          <cell r="J32">
            <v>4.8330116129032259</v>
          </cell>
          <cell r="K32">
            <v>1</v>
          </cell>
          <cell r="L32" t="str">
            <v>g</v>
          </cell>
          <cell r="M32">
            <v>74.911680000000004</v>
          </cell>
          <cell r="O32">
            <v>74.911680000000004</v>
          </cell>
        </row>
        <row r="33">
          <cell r="C33" t="str">
            <v>O002</v>
          </cell>
          <cell r="D33" t="str">
            <v>참기름</v>
          </cell>
          <cell r="E33" t="str">
            <v>Sesame Oil</v>
          </cell>
          <cell r="G33" t="str">
            <v>0,725 L</v>
          </cell>
          <cell r="H33">
            <v>725</v>
          </cell>
          <cell r="I33">
            <v>205000</v>
          </cell>
          <cell r="J33">
            <v>13.225806451612904</v>
          </cell>
          <cell r="K33">
            <v>0.99</v>
          </cell>
          <cell r="L33" t="str">
            <v>g</v>
          </cell>
          <cell r="M33">
            <v>285.61476837338904</v>
          </cell>
          <cell r="O33">
            <v>285.61476837338904</v>
          </cell>
        </row>
        <row r="34">
          <cell r="C34" t="str">
            <v>O006</v>
          </cell>
          <cell r="D34" t="str">
            <v>팜유</v>
          </cell>
          <cell r="E34" t="str">
            <v>Palm Oil</v>
          </cell>
          <cell r="G34" t="str">
            <v>1L</v>
          </cell>
          <cell r="H34">
            <v>1000</v>
          </cell>
          <cell r="I34">
            <v>35000</v>
          </cell>
          <cell r="J34">
            <v>2.2580645161290325</v>
          </cell>
          <cell r="K34">
            <v>0.99</v>
          </cell>
          <cell r="L34" t="str">
            <v>g</v>
          </cell>
          <cell r="M34">
            <v>35.353535353535356</v>
          </cell>
          <cell r="O34">
            <v>35.353535353535356</v>
          </cell>
        </row>
        <row r="35">
          <cell r="C35" t="str">
            <v>V003</v>
          </cell>
          <cell r="D35" t="str">
            <v>쪽파</v>
          </cell>
          <cell r="E35" t="str">
            <v>Scallion(Green Onion)</v>
          </cell>
          <cell r="G35" t="str">
            <v>1kg</v>
          </cell>
          <cell r="H35">
            <v>1000</v>
          </cell>
          <cell r="I35">
            <v>25000</v>
          </cell>
          <cell r="J35">
            <v>1.6129032258064515</v>
          </cell>
          <cell r="K35">
            <v>0.95</v>
          </cell>
          <cell r="L35" t="str">
            <v>g</v>
          </cell>
          <cell r="M35">
            <v>26.315789473684212</v>
          </cell>
          <cell r="O35">
            <v>26.315789473684212</v>
          </cell>
        </row>
        <row r="36">
          <cell r="C36" t="str">
            <v>V004</v>
          </cell>
          <cell r="D36" t="str">
            <v>청고추</v>
          </cell>
          <cell r="E36" t="str">
            <v>Green Chili Pepper</v>
          </cell>
          <cell r="G36" t="str">
            <v>1kg</v>
          </cell>
          <cell r="H36">
            <v>1000</v>
          </cell>
          <cell r="I36">
            <v>55000</v>
          </cell>
          <cell r="J36">
            <v>3.5483870967741935</v>
          </cell>
          <cell r="K36">
            <v>0.9</v>
          </cell>
          <cell r="L36" t="str">
            <v>g</v>
          </cell>
          <cell r="M36">
            <v>61.111111111111107</v>
          </cell>
          <cell r="O36">
            <v>61.111111111111107</v>
          </cell>
        </row>
        <row r="37">
          <cell r="C37" t="str">
            <v>V005</v>
          </cell>
          <cell r="D37" t="str">
            <v>홍고추</v>
          </cell>
          <cell r="E37" t="str">
            <v>Red Chili Pepper</v>
          </cell>
          <cell r="G37" t="str">
            <v>1kg</v>
          </cell>
          <cell r="H37">
            <v>1000</v>
          </cell>
          <cell r="I37">
            <v>85000</v>
          </cell>
          <cell r="J37">
            <v>5.4838709677419351</v>
          </cell>
          <cell r="K37">
            <v>0.9</v>
          </cell>
          <cell r="L37" t="str">
            <v>g</v>
          </cell>
          <cell r="M37">
            <v>94.444444444444443</v>
          </cell>
          <cell r="O37">
            <v>94.444444444444443</v>
          </cell>
        </row>
        <row r="38">
          <cell r="C38" t="str">
            <v>V006</v>
          </cell>
          <cell r="D38" t="str">
            <v>참깨</v>
          </cell>
          <cell r="E38" t="str">
            <v>Sesame Seed</v>
          </cell>
          <cell r="K38">
            <v>0.9</v>
          </cell>
          <cell r="L38" t="str">
            <v>g</v>
          </cell>
          <cell r="M38" t="str">
            <v>-</v>
          </cell>
          <cell r="O38" t="str">
            <v>-</v>
          </cell>
        </row>
        <row r="39">
          <cell r="C39" t="str">
            <v>V007</v>
          </cell>
          <cell r="D39" t="str">
            <v xml:space="preserve">양파 </v>
          </cell>
          <cell r="E39" t="str">
            <v>White Onion</v>
          </cell>
          <cell r="G39" t="str">
            <v>1kg</v>
          </cell>
          <cell r="H39">
            <v>1000</v>
          </cell>
          <cell r="I39">
            <v>43500</v>
          </cell>
          <cell r="J39">
            <v>2.806451612903226</v>
          </cell>
          <cell r="K39">
            <v>0.95</v>
          </cell>
          <cell r="L39" t="str">
            <v>g</v>
          </cell>
          <cell r="M39">
            <v>45.789473684210527</v>
          </cell>
          <cell r="O39">
            <v>45.789473684210527</v>
          </cell>
        </row>
        <row r="40">
          <cell r="C40" t="str">
            <v>V008</v>
          </cell>
          <cell r="D40" t="str">
            <v>쌀</v>
          </cell>
          <cell r="E40" t="str">
            <v>Rice</v>
          </cell>
          <cell r="G40" t="str">
            <v>5kg*1pack</v>
          </cell>
          <cell r="H40">
            <v>5000</v>
          </cell>
          <cell r="I40">
            <v>77500</v>
          </cell>
          <cell r="J40">
            <v>5</v>
          </cell>
          <cell r="K40">
            <v>2</v>
          </cell>
          <cell r="L40" t="str">
            <v>g</v>
          </cell>
          <cell r="M40">
            <v>7.75</v>
          </cell>
          <cell r="O40">
            <v>7.75</v>
          </cell>
        </row>
        <row r="41">
          <cell r="C41" t="str">
            <v>V009</v>
          </cell>
          <cell r="D41" t="str">
            <v>당근</v>
          </cell>
          <cell r="E41" t="str">
            <v>Carrot</v>
          </cell>
          <cell r="G41" t="str">
            <v>1kg</v>
          </cell>
          <cell r="H41">
            <v>1000</v>
          </cell>
          <cell r="I41">
            <v>22500</v>
          </cell>
          <cell r="J41">
            <v>1.4516129032258065</v>
          </cell>
          <cell r="K41">
            <v>0.95</v>
          </cell>
          <cell r="L41" t="str">
            <v>g</v>
          </cell>
          <cell r="M41">
            <v>23.684210526315791</v>
          </cell>
          <cell r="O41">
            <v>23.684210526315791</v>
          </cell>
        </row>
        <row r="42">
          <cell r="C42" t="str">
            <v>V041</v>
          </cell>
          <cell r="D42" t="str">
            <v>옥수수(캔)</v>
          </cell>
          <cell r="E42" t="str">
            <v>Corn(Canned)</v>
          </cell>
          <cell r="G42" t="str">
            <v>425g</v>
          </cell>
          <cell r="H42">
            <v>425</v>
          </cell>
          <cell r="I42">
            <v>15401.250000000002</v>
          </cell>
          <cell r="J42">
            <v>0.99362903225806465</v>
          </cell>
          <cell r="K42">
            <v>0.99</v>
          </cell>
          <cell r="L42" t="str">
            <v>g</v>
          </cell>
          <cell r="M42">
            <v>36.604278074866315</v>
          </cell>
          <cell r="O42">
            <v>36.604278074866315</v>
          </cell>
        </row>
        <row r="43">
          <cell r="C43" t="str">
            <v>V064</v>
          </cell>
          <cell r="D43" t="str">
            <v>양배추</v>
          </cell>
          <cell r="E43" t="str">
            <v>Cabbage</v>
          </cell>
          <cell r="G43" t="str">
            <v>1Kg</v>
          </cell>
          <cell r="H43">
            <v>1000</v>
          </cell>
          <cell r="I43">
            <v>20000</v>
          </cell>
          <cell r="J43">
            <v>1.2903225806451613</v>
          </cell>
          <cell r="K43">
            <v>0.99</v>
          </cell>
          <cell r="L43" t="str">
            <v>g</v>
          </cell>
          <cell r="M43">
            <v>20.202020202020201</v>
          </cell>
          <cell r="O43" t="str">
            <v>-</v>
          </cell>
        </row>
        <row r="44">
          <cell r="C44" t="str">
            <v>V065</v>
          </cell>
          <cell r="D44" t="str">
            <v>청피망</v>
          </cell>
          <cell r="E44" t="str">
            <v>Green Bell Pepper</v>
          </cell>
          <cell r="G44" t="str">
            <v>1Kg</v>
          </cell>
          <cell r="H44">
            <v>1000</v>
          </cell>
          <cell r="I44">
            <v>58000</v>
          </cell>
          <cell r="J44">
            <v>3.7419354838709675</v>
          </cell>
          <cell r="K44">
            <v>0.99</v>
          </cell>
          <cell r="L44" t="str">
            <v>g</v>
          </cell>
          <cell r="M44">
            <v>58.585858585858588</v>
          </cell>
          <cell r="O44" t="str">
            <v>-</v>
          </cell>
        </row>
        <row r="45">
          <cell r="C45" t="str">
            <v>V066</v>
          </cell>
          <cell r="D45" t="str">
            <v>적피망</v>
          </cell>
          <cell r="E45" t="str">
            <v>Red Bell Pepper</v>
          </cell>
          <cell r="G45" t="str">
            <v>1Kg</v>
          </cell>
          <cell r="H45">
            <v>1000</v>
          </cell>
          <cell r="I45">
            <v>65000</v>
          </cell>
          <cell r="J45">
            <v>4.193548387096774</v>
          </cell>
          <cell r="K45">
            <v>0.99</v>
          </cell>
          <cell r="L45" t="str">
            <v>g</v>
          </cell>
          <cell r="M45">
            <v>65.656565656565661</v>
          </cell>
          <cell r="O45" t="str">
            <v>-</v>
          </cell>
        </row>
        <row r="46">
          <cell r="C46" t="str">
            <v>V067</v>
          </cell>
          <cell r="D46" t="str">
            <v>콜슬로우</v>
          </cell>
          <cell r="E46" t="str">
            <v xml:space="preserve"> Coleslaw</v>
          </cell>
          <cell r="K46">
            <v>0.99</v>
          </cell>
          <cell r="L46" t="str">
            <v>g</v>
          </cell>
          <cell r="M46" t="str">
            <v>-</v>
          </cell>
          <cell r="O46" t="str">
            <v>-</v>
          </cell>
        </row>
        <row r="47">
          <cell r="C47" t="str">
            <v>I001</v>
          </cell>
          <cell r="D47" t="str">
            <v>정수</v>
          </cell>
          <cell r="E47" t="str">
            <v xml:space="preserve">Purified Water </v>
          </cell>
          <cell r="G47" t="str">
            <v>19L</v>
          </cell>
          <cell r="H47">
            <v>19000</v>
          </cell>
          <cell r="I47">
            <v>22000</v>
          </cell>
          <cell r="J47">
            <v>1.4193548387096775</v>
          </cell>
          <cell r="K47">
            <v>0.99</v>
          </cell>
          <cell r="L47" t="str">
            <v>g</v>
          </cell>
          <cell r="M47">
            <v>1.169590643274854</v>
          </cell>
          <cell r="O47">
            <v>1.169590643274854</v>
          </cell>
        </row>
        <row r="48">
          <cell r="C48" t="str">
            <v>I002</v>
          </cell>
          <cell r="D48" t="str">
            <v>소금</v>
          </cell>
          <cell r="E48" t="str">
            <v>Salt</v>
          </cell>
          <cell r="G48" t="str">
            <v>500g</v>
          </cell>
          <cell r="H48">
            <v>500</v>
          </cell>
          <cell r="I48">
            <v>11500</v>
          </cell>
          <cell r="J48">
            <v>0.74193548387096775</v>
          </cell>
          <cell r="K48">
            <v>0.99</v>
          </cell>
          <cell r="L48" t="str">
            <v>g</v>
          </cell>
          <cell r="M48">
            <v>23.232323232323232</v>
          </cell>
          <cell r="O48">
            <v>23.232323232323232</v>
          </cell>
        </row>
        <row r="49">
          <cell r="C49" t="str">
            <v>I003</v>
          </cell>
          <cell r="D49" t="str">
            <v>깨</v>
          </cell>
          <cell r="E49" t="str">
            <v>Sesame Seeds</v>
          </cell>
          <cell r="G49" t="str">
            <v>50g</v>
          </cell>
          <cell r="H49">
            <v>50</v>
          </cell>
          <cell r="I49">
            <v>16000</v>
          </cell>
          <cell r="J49">
            <v>1.032258064516129</v>
          </cell>
          <cell r="K49">
            <v>0.99</v>
          </cell>
          <cell r="L49" t="str">
            <v>g</v>
          </cell>
          <cell r="M49">
            <v>323.23232323232321</v>
          </cell>
          <cell r="O49">
            <v>323.23232323232321</v>
          </cell>
        </row>
        <row r="50">
          <cell r="C50" t="str">
            <v>I004</v>
          </cell>
          <cell r="D50" t="str">
            <v>다진마늘</v>
          </cell>
          <cell r="E50" t="str">
            <v>minced Garlic</v>
          </cell>
          <cell r="G50" t="str">
            <v>1kg</v>
          </cell>
          <cell r="H50">
            <v>1000</v>
          </cell>
          <cell r="I50">
            <v>35000</v>
          </cell>
          <cell r="J50">
            <v>2.2580645161290325</v>
          </cell>
          <cell r="K50">
            <v>0.99</v>
          </cell>
          <cell r="L50" t="str">
            <v>g</v>
          </cell>
          <cell r="M50">
            <v>35.353535353535356</v>
          </cell>
          <cell r="O50">
            <v>35.353535353535356</v>
          </cell>
        </row>
        <row r="51">
          <cell r="C51" t="str">
            <v>I005</v>
          </cell>
          <cell r="D51" t="str">
            <v>바닐라 아이스크림</v>
          </cell>
          <cell r="E51" t="str">
            <v>Vanila Ice Cream</v>
          </cell>
          <cell r="K51">
            <v>0.99</v>
          </cell>
          <cell r="L51" t="str">
            <v>g</v>
          </cell>
          <cell r="M51" t="str">
            <v>-</v>
          </cell>
          <cell r="O51" t="str">
            <v>-</v>
          </cell>
        </row>
        <row r="52">
          <cell r="C52" t="str">
            <v>I006</v>
          </cell>
          <cell r="D52" t="str">
            <v>초코 아이스크림</v>
          </cell>
          <cell r="E52" t="str">
            <v>Chocolate Ice Cream</v>
          </cell>
          <cell r="K52">
            <v>0.99</v>
          </cell>
          <cell r="L52" t="str">
            <v>g</v>
          </cell>
          <cell r="M52" t="str">
            <v>-</v>
          </cell>
          <cell r="O52" t="str">
            <v>-</v>
          </cell>
        </row>
        <row r="53">
          <cell r="C53" t="str">
            <v>I007</v>
          </cell>
          <cell r="D53" t="str">
            <v>딸기 시럽</v>
          </cell>
          <cell r="E53" t="str">
            <v>Strawberry Syrup</v>
          </cell>
          <cell r="K53">
            <v>0.99</v>
          </cell>
          <cell r="L53" t="str">
            <v>g</v>
          </cell>
          <cell r="M53" t="str">
            <v>-</v>
          </cell>
          <cell r="O53" t="str">
            <v>-</v>
          </cell>
        </row>
        <row r="54">
          <cell r="C54" t="str">
            <v>I008</v>
          </cell>
          <cell r="D54" t="str">
            <v>오레오 크럼블</v>
          </cell>
          <cell r="E54" t="str">
            <v>Oreo Crumble</v>
          </cell>
          <cell r="K54">
            <v>0.99</v>
          </cell>
          <cell r="L54" t="str">
            <v>g</v>
          </cell>
          <cell r="M54" t="str">
            <v>-</v>
          </cell>
          <cell r="O54" t="str">
            <v>-</v>
          </cell>
        </row>
        <row r="55">
          <cell r="C55" t="str">
            <v>I009</v>
          </cell>
          <cell r="D55" t="str">
            <v>콘 플레이크</v>
          </cell>
          <cell r="E55" t="str">
            <v>Corn Flake</v>
          </cell>
          <cell r="K55">
            <v>0.99</v>
          </cell>
          <cell r="L55" t="str">
            <v>g</v>
          </cell>
          <cell r="M55" t="str">
            <v>-</v>
          </cell>
          <cell r="O55" t="str">
            <v>-</v>
          </cell>
        </row>
        <row r="56">
          <cell r="C56" t="str">
            <v>I010</v>
          </cell>
          <cell r="D56" t="str">
            <v>땅콩 버터</v>
          </cell>
          <cell r="E56" t="str">
            <v>Peanut Butter</v>
          </cell>
          <cell r="K56">
            <v>0.99</v>
          </cell>
          <cell r="L56" t="str">
            <v>g</v>
          </cell>
          <cell r="M56" t="str">
            <v>-</v>
          </cell>
          <cell r="O56" t="str">
            <v>-</v>
          </cell>
        </row>
        <row r="57">
          <cell r="C57" t="str">
            <v>I011</v>
          </cell>
          <cell r="D57" t="str">
            <v>레몬 주스</v>
          </cell>
          <cell r="E57" t="str">
            <v>Lemon Juiice</v>
          </cell>
          <cell r="K57">
            <v>0.99</v>
          </cell>
          <cell r="L57" t="str">
            <v>g</v>
          </cell>
          <cell r="M57" t="str">
            <v>-</v>
          </cell>
          <cell r="O57" t="str">
            <v>-</v>
          </cell>
        </row>
        <row r="58">
          <cell r="C58" t="str">
            <v>I012</v>
          </cell>
          <cell r="D58" t="str">
            <v>고추장</v>
          </cell>
          <cell r="E58" t="str">
            <v>Korean Chili Paste</v>
          </cell>
          <cell r="K58">
            <v>0.99</v>
          </cell>
          <cell r="L58" t="str">
            <v>g</v>
          </cell>
          <cell r="M58" t="str">
            <v>-</v>
          </cell>
          <cell r="O58" t="str">
            <v>-</v>
          </cell>
        </row>
        <row r="59">
          <cell r="C59" t="str">
            <v>I013</v>
          </cell>
          <cell r="D59" t="str">
            <v>고추가루</v>
          </cell>
          <cell r="E59" t="str">
            <v>Korean Chili Powder</v>
          </cell>
          <cell r="K59">
            <v>0.99</v>
          </cell>
          <cell r="L59" t="str">
            <v>g</v>
          </cell>
          <cell r="M59" t="str">
            <v>-</v>
          </cell>
          <cell r="O59" t="str">
            <v>-</v>
          </cell>
        </row>
        <row r="60">
          <cell r="C60" t="str">
            <v>I014</v>
          </cell>
          <cell r="D60" t="str">
            <v>굴소스</v>
          </cell>
          <cell r="E60" t="str">
            <v>Oyster Sauce</v>
          </cell>
          <cell r="K60">
            <v>0.99</v>
          </cell>
          <cell r="L60" t="str">
            <v>g</v>
          </cell>
          <cell r="M60" t="str">
            <v>-</v>
          </cell>
          <cell r="O60" t="str">
            <v>-</v>
          </cell>
        </row>
        <row r="61">
          <cell r="C61" t="str">
            <v>I015</v>
          </cell>
          <cell r="D61" t="str">
            <v>계란</v>
          </cell>
          <cell r="E61" t="str">
            <v>Egg</v>
          </cell>
          <cell r="G61" t="str">
            <v>1kg</v>
          </cell>
          <cell r="H61">
            <v>1000</v>
          </cell>
          <cell r="I61">
            <v>24000</v>
          </cell>
          <cell r="J61">
            <v>1.5483870967741935</v>
          </cell>
          <cell r="K61">
            <v>0.99</v>
          </cell>
          <cell r="L61" t="str">
            <v>g</v>
          </cell>
          <cell r="M61">
            <v>24.242424242424242</v>
          </cell>
          <cell r="O61">
            <v>24.242424242424242</v>
          </cell>
        </row>
        <row r="62">
          <cell r="C62" t="str">
            <v>I016</v>
          </cell>
          <cell r="D62" t="str">
            <v>간장</v>
          </cell>
          <cell r="E62" t="str">
            <v>Light Soy Sauce</v>
          </cell>
          <cell r="K62">
            <v>0.99</v>
          </cell>
          <cell r="L62" t="str">
            <v>g</v>
          </cell>
          <cell r="M62" t="str">
            <v>-</v>
          </cell>
          <cell r="O62" t="str">
            <v>-</v>
          </cell>
        </row>
        <row r="63">
          <cell r="C63" t="str">
            <v>I017</v>
          </cell>
          <cell r="D63" t="str">
            <v>아지모토</v>
          </cell>
          <cell r="E63" t="str">
            <v>Ajino Moto</v>
          </cell>
          <cell r="K63">
            <v>0.99</v>
          </cell>
          <cell r="L63" t="str">
            <v>g</v>
          </cell>
          <cell r="M63" t="str">
            <v>-</v>
          </cell>
          <cell r="O63" t="str">
            <v>-</v>
          </cell>
        </row>
        <row r="64">
          <cell r="C64" t="str">
            <v>I018</v>
          </cell>
          <cell r="D64" t="str">
            <v>레몬</v>
          </cell>
          <cell r="E64" t="str">
            <v>Lemon</v>
          </cell>
          <cell r="K64">
            <v>0.99</v>
          </cell>
          <cell r="L64" t="str">
            <v>ea</v>
          </cell>
          <cell r="M64" t="str">
            <v>-</v>
          </cell>
          <cell r="O64" t="str">
            <v>-</v>
          </cell>
        </row>
        <row r="65">
          <cell r="C65" t="str">
            <v>I019</v>
          </cell>
          <cell r="D65" t="str">
            <v>갈릭칩</v>
          </cell>
          <cell r="E65" t="str">
            <v>Garlic Chip</v>
          </cell>
          <cell r="K65">
            <v>0.99</v>
          </cell>
          <cell r="L65" t="str">
            <v>g</v>
          </cell>
          <cell r="M65" t="str">
            <v>-</v>
          </cell>
          <cell r="O65" t="str">
            <v>-</v>
          </cell>
        </row>
        <row r="66">
          <cell r="C66" t="str">
            <v>I020</v>
          </cell>
          <cell r="D66" t="str">
            <v>땅콩 분태</v>
          </cell>
          <cell r="E66" t="str">
            <v>Peanut Crumble</v>
          </cell>
          <cell r="K66">
            <v>0.99</v>
          </cell>
          <cell r="L66" t="str">
            <v>g</v>
          </cell>
          <cell r="M66" t="str">
            <v>-</v>
          </cell>
          <cell r="O66" t="str">
            <v>-</v>
          </cell>
        </row>
        <row r="67">
          <cell r="C67" t="str">
            <v>I021</v>
          </cell>
          <cell r="D67" t="str">
            <v>후추</v>
          </cell>
          <cell r="E67" t="str">
            <v>Black Pepper</v>
          </cell>
          <cell r="G67" t="str">
            <v>83g</v>
          </cell>
          <cell r="H67">
            <v>83</v>
          </cell>
          <cell r="I67">
            <v>25000</v>
          </cell>
          <cell r="J67">
            <v>1.6129032258064515</v>
          </cell>
          <cell r="K67">
            <v>0.99</v>
          </cell>
          <cell r="L67" t="str">
            <v>g</v>
          </cell>
          <cell r="M67">
            <v>304.24729219909943</v>
          </cell>
          <cell r="O67">
            <v>304.24729219909943</v>
          </cell>
        </row>
        <row r="68">
          <cell r="C68" t="str">
            <v>I027</v>
          </cell>
          <cell r="D68" t="str">
            <v>백설탕</v>
          </cell>
          <cell r="E68" t="str">
            <v>White Sugar</v>
          </cell>
          <cell r="G68" t="str">
            <v>1kg</v>
          </cell>
          <cell r="H68">
            <v>1000</v>
          </cell>
          <cell r="I68">
            <v>17500</v>
          </cell>
          <cell r="J68">
            <v>1.1290322580645162</v>
          </cell>
          <cell r="K68">
            <v>0.99</v>
          </cell>
          <cell r="L68" t="str">
            <v>g</v>
          </cell>
          <cell r="M68">
            <v>17.676767676767678</v>
          </cell>
          <cell r="O68">
            <v>17.676767676767678</v>
          </cell>
        </row>
        <row r="69">
          <cell r="C69" t="str">
            <v>I028</v>
          </cell>
          <cell r="D69" t="str">
            <v>연유</v>
          </cell>
          <cell r="E69" t="str">
            <v>Condensed Milk</v>
          </cell>
          <cell r="K69">
            <v>0.99</v>
          </cell>
          <cell r="L69" t="str">
            <v>g</v>
          </cell>
          <cell r="M69" t="str">
            <v>-</v>
          </cell>
          <cell r="O69" t="str">
            <v>-</v>
          </cell>
        </row>
        <row r="70">
          <cell r="C70" t="str">
            <v>I029</v>
          </cell>
          <cell r="D70" t="str">
            <v>김자반</v>
          </cell>
          <cell r="E70" t="str">
            <v>Crispy Seasweed</v>
          </cell>
          <cell r="K70">
            <v>0.99</v>
          </cell>
          <cell r="L70" t="str">
            <v>g</v>
          </cell>
          <cell r="M70" t="str">
            <v>-</v>
          </cell>
          <cell r="O70" t="str">
            <v>-</v>
          </cell>
        </row>
        <row r="71">
          <cell r="C71" t="str">
            <v>I031</v>
          </cell>
          <cell r="D71" t="str">
            <v>떡볶이떡(쌀떡)</v>
          </cell>
          <cell r="E71" t="str">
            <v xml:space="preserve">Rice Cake </v>
          </cell>
          <cell r="G71" t="str">
            <v>500g</v>
          </cell>
          <cell r="H71">
            <v>500</v>
          </cell>
          <cell r="I71">
            <v>43700</v>
          </cell>
          <cell r="J71">
            <v>2.8193548387096774</v>
          </cell>
          <cell r="K71">
            <v>0.99</v>
          </cell>
          <cell r="L71" t="str">
            <v>g</v>
          </cell>
          <cell r="M71">
            <v>88.282828282828291</v>
          </cell>
          <cell r="O71">
            <v>88.282828282828291</v>
          </cell>
        </row>
        <row r="72">
          <cell r="C72" t="str">
            <v>I032</v>
          </cell>
          <cell r="D72" t="str">
            <v>잡채면</v>
          </cell>
          <cell r="E72" t="str">
            <v>Glass Noodle</v>
          </cell>
          <cell r="K72">
            <v>0.99</v>
          </cell>
          <cell r="L72" t="str">
            <v>g</v>
          </cell>
          <cell r="M72" t="str">
            <v>-</v>
          </cell>
          <cell r="O72" t="str">
            <v>-</v>
          </cell>
        </row>
        <row r="73">
          <cell r="C73" t="str">
            <v>I035</v>
          </cell>
          <cell r="D73" t="str">
            <v>미림</v>
          </cell>
          <cell r="E73" t="str">
            <v>Mirim (Cooking Wine)</v>
          </cell>
          <cell r="G73" t="str">
            <v>400ml</v>
          </cell>
          <cell r="H73">
            <v>400</v>
          </cell>
          <cell r="I73">
            <v>57000</v>
          </cell>
          <cell r="J73">
            <v>3.6774193548387095</v>
          </cell>
          <cell r="K73">
            <v>0.99</v>
          </cell>
          <cell r="L73" t="str">
            <v>g</v>
          </cell>
          <cell r="M73">
            <v>143.93939393939394</v>
          </cell>
          <cell r="O73">
            <v>143.93939393939394</v>
          </cell>
        </row>
        <row r="74">
          <cell r="C74" t="str">
            <v>I039</v>
          </cell>
          <cell r="D74" t="str">
            <v>물엿</v>
          </cell>
          <cell r="E74" t="str">
            <v>Corn Syrup</v>
          </cell>
          <cell r="G74" t="str">
            <v>1200ml</v>
          </cell>
          <cell r="H74">
            <v>1200</v>
          </cell>
          <cell r="I74">
            <v>51000</v>
          </cell>
          <cell r="J74">
            <v>3.2903225806451615</v>
          </cell>
          <cell r="K74">
            <v>0.99</v>
          </cell>
          <cell r="L74" t="str">
            <v>g</v>
          </cell>
          <cell r="M74">
            <v>42.929292929292927</v>
          </cell>
          <cell r="O74">
            <v>42.929292929292927</v>
          </cell>
        </row>
        <row r="75">
          <cell r="C75" t="str">
            <v>I040</v>
          </cell>
          <cell r="D75" t="str">
            <v>식초</v>
          </cell>
          <cell r="E75" t="str">
            <v>Vinegar</v>
          </cell>
          <cell r="G75" t="str">
            <v>473 ml</v>
          </cell>
          <cell r="H75">
            <v>473</v>
          </cell>
          <cell r="I75">
            <v>42500</v>
          </cell>
          <cell r="J75">
            <v>2.7419354838709675</v>
          </cell>
          <cell r="K75">
            <v>0.99</v>
          </cell>
          <cell r="L75" t="str">
            <v>g</v>
          </cell>
          <cell r="M75">
            <v>90.759604501676378</v>
          </cell>
          <cell r="O75">
            <v>90.759604501676378</v>
          </cell>
        </row>
        <row r="76">
          <cell r="C76" t="str">
            <v>I041</v>
          </cell>
          <cell r="D76" t="str">
            <v>레몬농축액</v>
          </cell>
          <cell r="E76" t="str">
            <v xml:space="preserve">Lemon Juice </v>
          </cell>
          <cell r="G76" t="str">
            <v>500ml</v>
          </cell>
          <cell r="H76">
            <v>500</v>
          </cell>
          <cell r="I76">
            <v>69800</v>
          </cell>
          <cell r="J76">
            <v>4.5032258064516126</v>
          </cell>
          <cell r="K76">
            <v>0.99</v>
          </cell>
          <cell r="L76" t="str">
            <v>g</v>
          </cell>
          <cell r="M76">
            <v>141.01010101010101</v>
          </cell>
          <cell r="O76">
            <v>141.01010101010101</v>
          </cell>
        </row>
        <row r="77">
          <cell r="C77" t="str">
            <v>I042</v>
          </cell>
          <cell r="D77" t="str">
            <v>라면 사리</v>
          </cell>
          <cell r="E77" t="str">
            <v>Ramen Noodle</v>
          </cell>
          <cell r="G77" t="str">
            <v>1kg</v>
          </cell>
          <cell r="H77">
            <v>1000</v>
          </cell>
          <cell r="I77">
            <v>18000</v>
          </cell>
          <cell r="J77">
            <v>1.1612903225806452</v>
          </cell>
          <cell r="K77">
            <v>0.99</v>
          </cell>
          <cell r="L77" t="str">
            <v>g</v>
          </cell>
          <cell r="M77">
            <v>18.181818181818183</v>
          </cell>
          <cell r="O77">
            <v>18.181818181818183</v>
          </cell>
        </row>
        <row r="78">
          <cell r="C78" t="str">
            <v>F001</v>
          </cell>
          <cell r="D78" t="str">
            <v>감자튀김</v>
          </cell>
          <cell r="E78" t="str">
            <v>French Fries</v>
          </cell>
          <cell r="G78" t="str">
            <v>2Kg</v>
          </cell>
          <cell r="H78">
            <v>2000</v>
          </cell>
          <cell r="I78">
            <v>70000</v>
          </cell>
          <cell r="J78">
            <v>4.5161290322580649</v>
          </cell>
          <cell r="K78">
            <v>1</v>
          </cell>
          <cell r="L78" t="str">
            <v>g</v>
          </cell>
          <cell r="M78">
            <v>35</v>
          </cell>
          <cell r="O78">
            <v>35</v>
          </cell>
        </row>
        <row r="79">
          <cell r="C79" t="str">
            <v>F005</v>
          </cell>
          <cell r="D79" t="str">
            <v>치즈볼(BBQ)</v>
          </cell>
          <cell r="E79" t="str">
            <v>Cheese Ball(BBQ)</v>
          </cell>
          <cell r="G79" t="str">
            <v>30g*30ea*10bag</v>
          </cell>
          <cell r="H79">
            <v>300</v>
          </cell>
          <cell r="I79">
            <v>894103</v>
          </cell>
          <cell r="J79">
            <v>57.684064516129034</v>
          </cell>
          <cell r="K79">
            <v>1</v>
          </cell>
          <cell r="L79" t="str">
            <v>ea</v>
          </cell>
          <cell r="M79">
            <v>2980.3433333333332</v>
          </cell>
          <cell r="O79">
            <v>2980.3433333333332</v>
          </cell>
        </row>
        <row r="80">
          <cell r="C80" t="str">
            <v>F012</v>
          </cell>
          <cell r="D80" t="str">
            <v>멘보샤(BBQ)</v>
          </cell>
          <cell r="E80" t="str">
            <v>Shrimp Toast (BBQ)</v>
          </cell>
          <cell r="G80" t="str">
            <v>25g*24ea*10pack</v>
          </cell>
          <cell r="H80">
            <v>240</v>
          </cell>
          <cell r="I80">
            <v>1030007</v>
          </cell>
          <cell r="J80">
            <v>66.452064516129028</v>
          </cell>
          <cell r="K80">
            <v>1</v>
          </cell>
          <cell r="L80" t="str">
            <v>ea</v>
          </cell>
          <cell r="M80">
            <v>4291.6958333333332</v>
          </cell>
          <cell r="O80">
            <v>4291.6958333333332</v>
          </cell>
        </row>
        <row r="81">
          <cell r="C81" t="str">
            <v>F013</v>
          </cell>
          <cell r="D81" t="str">
            <v>치즈스틱</v>
          </cell>
          <cell r="E81" t="str">
            <v>Cheese Stick</v>
          </cell>
          <cell r="G81" t="str">
            <v>15ea*5pack</v>
          </cell>
          <cell r="H81">
            <v>75</v>
          </cell>
          <cell r="I81">
            <v>578182</v>
          </cell>
          <cell r="J81">
            <v>37.302064516129029</v>
          </cell>
          <cell r="K81">
            <v>1</v>
          </cell>
          <cell r="L81" t="str">
            <v>ea</v>
          </cell>
          <cell r="M81">
            <v>7709.0933333333332</v>
          </cell>
          <cell r="O81">
            <v>7709.0933333333332</v>
          </cell>
        </row>
        <row r="82">
          <cell r="C82" t="str">
            <v>F014</v>
          </cell>
          <cell r="D82" t="str">
            <v>만두 (고향만두)</v>
          </cell>
          <cell r="E82" t="str">
            <v>Dumpling</v>
          </cell>
          <cell r="G82" t="str">
            <v>1pack*24pcs</v>
          </cell>
          <cell r="H82">
            <v>24</v>
          </cell>
          <cell r="I82">
            <v>60000</v>
          </cell>
          <cell r="J82">
            <v>3.870967741935484</v>
          </cell>
          <cell r="K82">
            <v>1</v>
          </cell>
          <cell r="L82" t="str">
            <v>ea</v>
          </cell>
          <cell r="M82">
            <v>2500</v>
          </cell>
          <cell r="O82">
            <v>2500</v>
          </cell>
        </row>
        <row r="83">
          <cell r="C83" t="str">
            <v>F021</v>
          </cell>
          <cell r="D83" t="str">
            <v>김말이 튀김</v>
          </cell>
          <cell r="E83" t="str">
            <v>Seaweed Roll</v>
          </cell>
          <cell r="G83" t="str">
            <v>500g</v>
          </cell>
          <cell r="H83">
            <v>500</v>
          </cell>
          <cell r="I83">
            <v>107900</v>
          </cell>
          <cell r="J83">
            <v>6.9612903225806448</v>
          </cell>
          <cell r="K83">
            <v>1</v>
          </cell>
          <cell r="L83" t="str">
            <v>ea</v>
          </cell>
          <cell r="M83">
            <v>215.8</v>
          </cell>
          <cell r="O83" t="str">
            <v>-</v>
          </cell>
        </row>
        <row r="84">
          <cell r="C84" t="str">
            <v>F022</v>
          </cell>
          <cell r="D84" t="str">
            <v>핫도그</v>
          </cell>
          <cell r="E84" t="str">
            <v>Hot Corn dog</v>
          </cell>
          <cell r="G84" t="str">
            <v>360g</v>
          </cell>
          <cell r="H84">
            <v>4</v>
          </cell>
          <cell r="I84">
            <v>199000</v>
          </cell>
          <cell r="J84">
            <v>12.838709677419354</v>
          </cell>
          <cell r="K84">
            <v>1</v>
          </cell>
          <cell r="L84" t="str">
            <v>ea</v>
          </cell>
          <cell r="M84">
            <v>49750</v>
          </cell>
          <cell r="O84" t="str">
            <v>-</v>
          </cell>
        </row>
        <row r="85">
          <cell r="C85" t="str">
            <v>F023</v>
          </cell>
          <cell r="D85" t="str">
            <v>붕어빵</v>
          </cell>
          <cell r="E85" t="str">
            <v>Mini Red Bean Fish Bread</v>
          </cell>
          <cell r="G85" t="str">
            <v>330g</v>
          </cell>
          <cell r="H85">
            <v>15</v>
          </cell>
          <cell r="I85">
            <v>109000</v>
          </cell>
          <cell r="J85">
            <v>7.032258064516129</v>
          </cell>
          <cell r="K85">
            <v>1</v>
          </cell>
          <cell r="L85" t="str">
            <v>ea</v>
          </cell>
          <cell r="M85">
            <v>7266.666666666667</v>
          </cell>
          <cell r="O85" t="str">
            <v>-</v>
          </cell>
        </row>
        <row r="86">
          <cell r="C86" t="str">
            <v>F024</v>
          </cell>
          <cell r="D86" t="str">
            <v>치킨 너겟</v>
          </cell>
          <cell r="E86" t="str">
            <v>Chicken Nugget</v>
          </cell>
          <cell r="G86" t="str">
            <v>450g</v>
          </cell>
          <cell r="H86">
            <v>450</v>
          </cell>
          <cell r="I86">
            <v>35000</v>
          </cell>
          <cell r="J86">
            <v>2.2580645161290325</v>
          </cell>
          <cell r="K86">
            <v>1</v>
          </cell>
          <cell r="L86" t="str">
            <v>g</v>
          </cell>
          <cell r="M86">
            <v>77.777777777777771</v>
          </cell>
          <cell r="O86" t="str">
            <v>-</v>
          </cell>
        </row>
        <row r="87">
          <cell r="C87" t="str">
            <v>F025</v>
          </cell>
          <cell r="D87" t="str">
            <v>팝콘치킨</v>
          </cell>
          <cell r="E87" t="str">
            <v>Popcorn Chicken</v>
          </cell>
          <cell r="G87" t="str">
            <v>1kg</v>
          </cell>
          <cell r="H87">
            <v>1000</v>
          </cell>
          <cell r="I87">
            <v>71050</v>
          </cell>
          <cell r="J87">
            <v>4.5838709677419356</v>
          </cell>
          <cell r="K87">
            <v>1</v>
          </cell>
          <cell r="L87" t="str">
            <v>g</v>
          </cell>
          <cell r="M87">
            <v>71.05</v>
          </cell>
          <cell r="O87" t="str">
            <v>-</v>
          </cell>
        </row>
        <row r="88">
          <cell r="C88" t="str">
            <v>D001</v>
          </cell>
          <cell r="D88" t="str">
            <v>우유</v>
          </cell>
          <cell r="E88" t="str">
            <v>Milk</v>
          </cell>
          <cell r="G88" t="str">
            <v>1crt*12pack</v>
          </cell>
          <cell r="H88">
            <v>12000</v>
          </cell>
          <cell r="I88">
            <v>210000</v>
          </cell>
          <cell r="J88">
            <v>13.548387096774194</v>
          </cell>
          <cell r="K88">
            <v>0.99</v>
          </cell>
          <cell r="L88" t="str">
            <v>g</v>
          </cell>
          <cell r="M88">
            <v>17.676767676767678</v>
          </cell>
          <cell r="O88">
            <v>17.676767676767678</v>
          </cell>
        </row>
        <row r="89">
          <cell r="C89" t="str">
            <v>D003</v>
          </cell>
          <cell r="D89" t="str">
            <v>탄산음료</v>
          </cell>
          <cell r="E89" t="str">
            <v>Soft Drink</v>
          </cell>
          <cell r="G89" t="str">
            <v>10L</v>
          </cell>
          <cell r="H89">
            <v>25000</v>
          </cell>
          <cell r="I89">
            <v>800300</v>
          </cell>
          <cell r="J89">
            <v>51.63225806451613</v>
          </cell>
          <cell r="K89">
            <v>0.99</v>
          </cell>
          <cell r="L89" t="str">
            <v>g</v>
          </cell>
          <cell r="M89">
            <v>32.335353535353534</v>
          </cell>
          <cell r="O89">
            <v>32.335353535353534</v>
          </cell>
        </row>
        <row r="90">
          <cell r="C90" t="str">
            <v>PK001</v>
          </cell>
          <cell r="D90" t="str">
            <v>콤보 패키지</v>
          </cell>
          <cell r="E90" t="str">
            <v>Combo Package</v>
          </cell>
          <cell r="K90">
            <v>1</v>
          </cell>
          <cell r="L90" t="str">
            <v>ea</v>
          </cell>
          <cell r="M90" t="str">
            <v>-</v>
          </cell>
          <cell r="O90" t="str">
            <v>-</v>
          </cell>
        </row>
        <row r="91">
          <cell r="C91" t="str">
            <v>PK002</v>
          </cell>
          <cell r="D91" t="str">
            <v>컵밥 패키지</v>
          </cell>
          <cell r="E91" t="str">
            <v>Cupbap Package</v>
          </cell>
          <cell r="G91" t="str">
            <v>1ea</v>
          </cell>
          <cell r="H91">
            <v>1</v>
          </cell>
          <cell r="I91">
            <v>900</v>
          </cell>
          <cell r="J91">
            <v>5.8064516129032261E-2</v>
          </cell>
          <cell r="K91">
            <v>1</v>
          </cell>
          <cell r="L91" t="str">
            <v>ea</v>
          </cell>
          <cell r="M91">
            <v>900</v>
          </cell>
          <cell r="O91">
            <v>900</v>
          </cell>
        </row>
        <row r="92">
          <cell r="C92" t="str">
            <v>PK003</v>
          </cell>
          <cell r="D92" t="str">
            <v>치킨 패키지(반마리)</v>
          </cell>
          <cell r="E92" t="str">
            <v>Chicken Package(Half)</v>
          </cell>
          <cell r="K92">
            <v>1</v>
          </cell>
          <cell r="L92" t="str">
            <v>ea</v>
          </cell>
          <cell r="M92" t="str">
            <v>-</v>
          </cell>
          <cell r="O92" t="str">
            <v>-</v>
          </cell>
        </row>
        <row r="93">
          <cell r="C93" t="str">
            <v>PK004</v>
          </cell>
          <cell r="D93" t="str">
            <v>사이드 패키지</v>
          </cell>
          <cell r="E93" t="str">
            <v>Side Package</v>
          </cell>
          <cell r="K93">
            <v>1</v>
          </cell>
          <cell r="L93" t="str">
            <v>ea</v>
          </cell>
          <cell r="M93" t="str">
            <v>-</v>
          </cell>
          <cell r="O93" t="str">
            <v>-</v>
          </cell>
        </row>
        <row r="94">
          <cell r="C94" t="str">
            <v>PK005</v>
          </cell>
          <cell r="D94" t="str">
            <v>샐러드 패키지(8oz)</v>
          </cell>
          <cell r="E94" t="str">
            <v>Salad Package(8oz)</v>
          </cell>
          <cell r="K94">
            <v>1</v>
          </cell>
          <cell r="L94" t="str">
            <v>ea</v>
          </cell>
          <cell r="M94" t="str">
            <v>-</v>
          </cell>
          <cell r="O94" t="str">
            <v>-</v>
          </cell>
        </row>
        <row r="95">
          <cell r="C95" t="str">
            <v>PK006</v>
          </cell>
          <cell r="D95" t="str">
            <v>음료 패키지(16oz)</v>
          </cell>
          <cell r="E95" t="str">
            <v>Drink Package(16oz)</v>
          </cell>
          <cell r="G95" t="str">
            <v>1ea</v>
          </cell>
          <cell r="H95">
            <v>1</v>
          </cell>
          <cell r="I95">
            <v>615</v>
          </cell>
          <cell r="J95">
            <v>3.9677419354838712E-2</v>
          </cell>
          <cell r="K95">
            <v>1</v>
          </cell>
          <cell r="L95" t="str">
            <v>ea</v>
          </cell>
          <cell r="M95">
            <v>615</v>
          </cell>
          <cell r="O95">
            <v>615</v>
          </cell>
        </row>
        <row r="96">
          <cell r="C96" t="str">
            <v>PK007</v>
          </cell>
          <cell r="D96" t="str">
            <v>음료 패키지(32oz)</v>
          </cell>
          <cell r="E96" t="str">
            <v>Drink Package(32oz)</v>
          </cell>
          <cell r="G96" t="str">
            <v>1ea</v>
          </cell>
          <cell r="H96">
            <v>1</v>
          </cell>
          <cell r="I96">
            <v>800</v>
          </cell>
          <cell r="J96">
            <v>5.1612903225806452E-2</v>
          </cell>
          <cell r="K96">
            <v>1</v>
          </cell>
          <cell r="L96" t="str">
            <v>ea</v>
          </cell>
          <cell r="M96">
            <v>800</v>
          </cell>
          <cell r="O96">
            <v>800</v>
          </cell>
        </row>
        <row r="97">
          <cell r="C97" t="str">
            <v>PK008</v>
          </cell>
          <cell r="D97" t="str">
            <v>꼬꼬콜 뚜껑</v>
          </cell>
          <cell r="E97" t="str">
            <v>Coco-cole Lid</v>
          </cell>
          <cell r="K97">
            <v>1</v>
          </cell>
          <cell r="L97" t="str">
            <v>ea</v>
          </cell>
          <cell r="M97" t="str">
            <v>-</v>
          </cell>
          <cell r="O97" t="str">
            <v>-</v>
          </cell>
        </row>
        <row r="98">
          <cell r="C98" t="str">
            <v>PK009</v>
          </cell>
          <cell r="D98" t="str">
            <v>유산지</v>
          </cell>
          <cell r="E98" t="str">
            <v>Parchment Paper</v>
          </cell>
          <cell r="G98" t="str">
            <v>1ea</v>
          </cell>
          <cell r="H98">
            <v>1</v>
          </cell>
          <cell r="I98">
            <v>253</v>
          </cell>
          <cell r="J98">
            <v>1.6322580645161289E-2</v>
          </cell>
          <cell r="K98">
            <v>1</v>
          </cell>
          <cell r="L98" t="str">
            <v>ea</v>
          </cell>
          <cell r="M98">
            <v>253</v>
          </cell>
          <cell r="O98">
            <v>253</v>
          </cell>
        </row>
        <row r="99">
          <cell r="C99" t="str">
            <v>PK010</v>
          </cell>
          <cell r="D99" t="str">
            <v>종이쇼핑백(소)</v>
          </cell>
          <cell r="E99" t="str">
            <v>Paper Bag(Small)</v>
          </cell>
          <cell r="G99" t="str">
            <v>1ea</v>
          </cell>
          <cell r="H99">
            <v>1</v>
          </cell>
          <cell r="I99">
            <v>1000</v>
          </cell>
          <cell r="J99">
            <v>6.4516129032258063E-2</v>
          </cell>
          <cell r="K99">
            <v>1</v>
          </cell>
          <cell r="L99" t="str">
            <v>ea</v>
          </cell>
          <cell r="M99">
            <v>1000</v>
          </cell>
          <cell r="O99">
            <v>1000</v>
          </cell>
        </row>
        <row r="100">
          <cell r="C100" t="str">
            <v>PK011</v>
          </cell>
          <cell r="D100" t="str">
            <v>종이쇼핑백(중)</v>
          </cell>
          <cell r="E100" t="str">
            <v>Paper Bag(Medium)</v>
          </cell>
          <cell r="G100" t="str">
            <v>1ea</v>
          </cell>
          <cell r="H100">
            <v>1</v>
          </cell>
          <cell r="I100">
            <v>1150</v>
          </cell>
          <cell r="J100">
            <v>7.4193548387096769E-2</v>
          </cell>
          <cell r="K100">
            <v>1</v>
          </cell>
          <cell r="L100" t="str">
            <v>ea</v>
          </cell>
          <cell r="M100">
            <v>1150</v>
          </cell>
          <cell r="O100">
            <v>1150</v>
          </cell>
        </row>
        <row r="101">
          <cell r="C101" t="str">
            <v>PK012</v>
          </cell>
          <cell r="D101" t="str">
            <v>냅킨</v>
          </cell>
          <cell r="E101" t="str">
            <v>Napkin</v>
          </cell>
          <cell r="G101" t="str">
            <v>1pack</v>
          </cell>
          <cell r="H101">
            <v>100</v>
          </cell>
          <cell r="I101">
            <v>5150</v>
          </cell>
          <cell r="J101">
            <v>0.33225806451612905</v>
          </cell>
          <cell r="K101">
            <v>1</v>
          </cell>
          <cell r="L101" t="str">
            <v>ea</v>
          </cell>
          <cell r="M101">
            <v>51.5</v>
          </cell>
          <cell r="O101">
            <v>51.5</v>
          </cell>
        </row>
        <row r="102">
          <cell r="C102" t="str">
            <v>PK013</v>
          </cell>
          <cell r="D102" t="str">
            <v>포크</v>
          </cell>
          <cell r="E102" t="str">
            <v>Fork</v>
          </cell>
          <cell r="G102" t="str">
            <v>1ea</v>
          </cell>
          <cell r="H102">
            <v>1</v>
          </cell>
          <cell r="I102">
            <v>145</v>
          </cell>
          <cell r="J102">
            <v>9.35483870967742E-3</v>
          </cell>
          <cell r="K102">
            <v>1</v>
          </cell>
          <cell r="L102" t="str">
            <v>ea</v>
          </cell>
          <cell r="M102">
            <v>145</v>
          </cell>
          <cell r="O102">
            <v>145</v>
          </cell>
        </row>
        <row r="103">
          <cell r="C103" t="str">
            <v>PK014</v>
          </cell>
          <cell r="D103" t="str">
            <v>나이프</v>
          </cell>
          <cell r="E103" t="str">
            <v>Knife</v>
          </cell>
          <cell r="G103" t="str">
            <v>100ea</v>
          </cell>
          <cell r="H103">
            <v>100</v>
          </cell>
          <cell r="I103">
            <v>19900</v>
          </cell>
          <cell r="J103">
            <v>1.2838709677419355</v>
          </cell>
          <cell r="K103">
            <v>1</v>
          </cell>
          <cell r="L103" t="str">
            <v>ea</v>
          </cell>
          <cell r="M103">
            <v>199</v>
          </cell>
          <cell r="O103">
            <v>199</v>
          </cell>
        </row>
        <row r="104">
          <cell r="C104" t="str">
            <v>PK015</v>
          </cell>
          <cell r="D104" t="str">
            <v>숫가락</v>
          </cell>
          <cell r="E104" t="str">
            <v>Spoon</v>
          </cell>
          <cell r="G104" t="str">
            <v>1ea</v>
          </cell>
          <cell r="H104">
            <v>1</v>
          </cell>
          <cell r="I104">
            <v>140</v>
          </cell>
          <cell r="J104">
            <v>9.0322580645161299E-3</v>
          </cell>
          <cell r="K104">
            <v>1</v>
          </cell>
          <cell r="L104" t="str">
            <v>ea</v>
          </cell>
          <cell r="M104">
            <v>140</v>
          </cell>
          <cell r="O104">
            <v>140</v>
          </cell>
        </row>
        <row r="105">
          <cell r="C105" t="str">
            <v>PK016</v>
          </cell>
          <cell r="D105" t="str">
            <v>물티슈</v>
          </cell>
          <cell r="E105" t="str">
            <v>Wet Tissue</v>
          </cell>
          <cell r="G105" t="str">
            <v>1ea</v>
          </cell>
          <cell r="H105">
            <v>1</v>
          </cell>
          <cell r="I105">
            <v>650</v>
          </cell>
          <cell r="J105">
            <v>4.1935483870967745E-2</v>
          </cell>
          <cell r="K105">
            <v>1</v>
          </cell>
          <cell r="L105" t="str">
            <v>ea</v>
          </cell>
          <cell r="M105">
            <v>650</v>
          </cell>
          <cell r="O105">
            <v>650</v>
          </cell>
        </row>
        <row r="106">
          <cell r="C106" t="str">
            <v>PK017</v>
          </cell>
          <cell r="D106" t="str">
            <v>소독저</v>
          </cell>
          <cell r="E106" t="str">
            <v>Chopsticks</v>
          </cell>
          <cell r="G106" t="str">
            <v>1pack</v>
          </cell>
          <cell r="H106">
            <v>100</v>
          </cell>
          <cell r="I106">
            <v>25000</v>
          </cell>
          <cell r="J106">
            <v>1.6129032258064515</v>
          </cell>
          <cell r="K106">
            <v>1</v>
          </cell>
          <cell r="L106" t="str">
            <v>ea</v>
          </cell>
          <cell r="M106">
            <v>250</v>
          </cell>
          <cell r="O106">
            <v>250</v>
          </cell>
        </row>
        <row r="107">
          <cell r="C107" t="str">
            <v>PK018</v>
          </cell>
          <cell r="D107" t="str">
            <v>패키지(대)</v>
          </cell>
          <cell r="E107" t="str">
            <v>Package Box (L)</v>
          </cell>
          <cell r="K107">
            <v>1</v>
          </cell>
          <cell r="L107" t="str">
            <v>g</v>
          </cell>
          <cell r="M107" t="str">
            <v>-</v>
          </cell>
          <cell r="O107" t="str">
            <v>-</v>
          </cell>
        </row>
        <row r="108">
          <cell r="C108" t="str">
            <v>PK019</v>
          </cell>
          <cell r="D108" t="str">
            <v>패키지(중)</v>
          </cell>
          <cell r="E108" t="str">
            <v>Package Box (M)</v>
          </cell>
          <cell r="K108">
            <v>1</v>
          </cell>
          <cell r="L108" t="str">
            <v>g</v>
          </cell>
          <cell r="M108" t="str">
            <v>-</v>
          </cell>
          <cell r="O108" t="str">
            <v>-</v>
          </cell>
        </row>
        <row r="109">
          <cell r="C109" t="str">
            <v>PK020</v>
          </cell>
          <cell r="D109" t="str">
            <v>패키지(소)</v>
          </cell>
          <cell r="E109" t="str">
            <v>Package Box (S)</v>
          </cell>
          <cell r="K109">
            <v>1</v>
          </cell>
          <cell r="L109" t="str">
            <v>g</v>
          </cell>
          <cell r="M109" t="str">
            <v>-</v>
          </cell>
          <cell r="O109" t="str">
            <v>-</v>
          </cell>
        </row>
        <row r="110">
          <cell r="C110" t="str">
            <v>PK021</v>
          </cell>
          <cell r="D110" t="str">
            <v>트레이(대)</v>
          </cell>
          <cell r="E110" t="str">
            <v>To-Go Tray (L)</v>
          </cell>
          <cell r="K110">
            <v>1</v>
          </cell>
          <cell r="L110" t="str">
            <v>g</v>
          </cell>
          <cell r="M110" t="str">
            <v>-</v>
          </cell>
          <cell r="O110" t="str">
            <v>-</v>
          </cell>
        </row>
        <row r="111">
          <cell r="C111" t="str">
            <v>PK022</v>
          </cell>
          <cell r="D111" t="str">
            <v>트레이(중)</v>
          </cell>
          <cell r="E111" t="str">
            <v>To-Go Tray (M)</v>
          </cell>
          <cell r="K111">
            <v>1</v>
          </cell>
          <cell r="L111" t="str">
            <v>g</v>
          </cell>
          <cell r="M111" t="str">
            <v>-</v>
          </cell>
          <cell r="O111" t="str">
            <v>-</v>
          </cell>
        </row>
        <row r="112">
          <cell r="C112" t="str">
            <v>PK023</v>
          </cell>
          <cell r="D112" t="str">
            <v>트레이(소)</v>
          </cell>
          <cell r="E112" t="str">
            <v>To-Go Tray (S)</v>
          </cell>
          <cell r="K112">
            <v>1</v>
          </cell>
          <cell r="L112" t="str">
            <v>g</v>
          </cell>
          <cell r="M112" t="str">
            <v>-</v>
          </cell>
          <cell r="O112" t="str">
            <v>-</v>
          </cell>
        </row>
        <row r="113">
          <cell r="C113" t="str">
            <v>PK024</v>
          </cell>
          <cell r="D113" t="str">
            <v>비닐쇼핑백(대)</v>
          </cell>
          <cell r="E113" t="str">
            <v>Plastic Bag (L)</v>
          </cell>
          <cell r="K113">
            <v>1</v>
          </cell>
          <cell r="L113" t="str">
            <v>g</v>
          </cell>
          <cell r="M113" t="str">
            <v>-</v>
          </cell>
          <cell r="O113" t="str">
            <v>-</v>
          </cell>
        </row>
        <row r="114">
          <cell r="C114" t="str">
            <v>PK025</v>
          </cell>
          <cell r="D114" t="str">
            <v>비닐쇼핑백(중)</v>
          </cell>
          <cell r="E114" t="str">
            <v>Plastic Bag (M)</v>
          </cell>
          <cell r="K114">
            <v>1</v>
          </cell>
          <cell r="L114" t="str">
            <v>g</v>
          </cell>
          <cell r="M114" t="str">
            <v>-</v>
          </cell>
          <cell r="O114" t="str">
            <v>-</v>
          </cell>
        </row>
        <row r="115">
          <cell r="C115" t="str">
            <v>PK026</v>
          </cell>
          <cell r="D115" t="str">
            <v>비닐쇼핑백(소)</v>
          </cell>
          <cell r="E115" t="str">
            <v>Plastic Bag (S)</v>
          </cell>
          <cell r="K115">
            <v>1</v>
          </cell>
          <cell r="L115" t="str">
            <v>g</v>
          </cell>
          <cell r="M115" t="str">
            <v>-</v>
          </cell>
          <cell r="O115" t="str">
            <v>-</v>
          </cell>
        </row>
        <row r="116">
          <cell r="C116" t="str">
            <v>PK027</v>
          </cell>
          <cell r="D116" t="str">
            <v>냅킨</v>
          </cell>
          <cell r="E116" t="str">
            <v>Napkin</v>
          </cell>
          <cell r="K116">
            <v>1</v>
          </cell>
          <cell r="L116" t="str">
            <v>g</v>
          </cell>
          <cell r="M116" t="str">
            <v>-</v>
          </cell>
          <cell r="O116" t="str">
            <v>-</v>
          </cell>
        </row>
        <row r="117">
          <cell r="C117" t="str">
            <v>PK028</v>
          </cell>
          <cell r="D117" t="str">
            <v>포크</v>
          </cell>
          <cell r="E117" t="str">
            <v>6.5" Fork</v>
          </cell>
          <cell r="K117">
            <v>1</v>
          </cell>
          <cell r="L117" t="str">
            <v>g</v>
          </cell>
          <cell r="M117" t="str">
            <v>-</v>
          </cell>
          <cell r="O117" t="str">
            <v>-</v>
          </cell>
        </row>
        <row r="118">
          <cell r="C118" t="str">
            <v>PK029</v>
          </cell>
          <cell r="D118" t="str">
            <v>나이프</v>
          </cell>
          <cell r="E118" t="str">
            <v>7" Knife</v>
          </cell>
          <cell r="K118">
            <v>1</v>
          </cell>
          <cell r="L118" t="str">
            <v>g</v>
          </cell>
          <cell r="M118" t="str">
            <v>-</v>
          </cell>
          <cell r="O118" t="str">
            <v>-</v>
          </cell>
        </row>
        <row r="119">
          <cell r="C119" t="str">
            <v>PK030</v>
          </cell>
          <cell r="D119" t="str">
            <v>숟가락</v>
          </cell>
          <cell r="E119" t="str">
            <v>6.5" Spoon</v>
          </cell>
          <cell r="K119">
            <v>1</v>
          </cell>
          <cell r="L119" t="str">
            <v>g</v>
          </cell>
          <cell r="M119" t="str">
            <v>-</v>
          </cell>
          <cell r="O119" t="str">
            <v>-</v>
          </cell>
        </row>
        <row r="120">
          <cell r="C120" t="str">
            <v>PK031</v>
          </cell>
          <cell r="D120" t="str">
            <v>물티슈</v>
          </cell>
          <cell r="E120" t="str">
            <v>Wet Tissue</v>
          </cell>
          <cell r="K120">
            <v>1</v>
          </cell>
          <cell r="L120" t="str">
            <v>g</v>
          </cell>
          <cell r="M120" t="str">
            <v>-</v>
          </cell>
          <cell r="O120" t="str">
            <v>-</v>
          </cell>
        </row>
        <row r="121">
          <cell r="C121" t="str">
            <v>PK032</v>
          </cell>
          <cell r="D121" t="str">
            <v>소독저</v>
          </cell>
          <cell r="E121" t="str">
            <v>Chopsticks</v>
          </cell>
          <cell r="K121">
            <v>1</v>
          </cell>
          <cell r="L121" t="str">
            <v>g</v>
          </cell>
          <cell r="M121" t="str">
            <v>-</v>
          </cell>
          <cell r="O121" t="str">
            <v>-</v>
          </cell>
        </row>
        <row r="122">
          <cell r="C122" t="str">
            <v>PK033</v>
          </cell>
          <cell r="D122" t="str">
            <v>포테이토전용용기2</v>
          </cell>
          <cell r="E122" t="str">
            <v>Potato Container Type-2</v>
          </cell>
          <cell r="K122">
            <v>1</v>
          </cell>
          <cell r="L122" t="str">
            <v>g</v>
          </cell>
          <cell r="M122" t="str">
            <v>-</v>
          </cell>
          <cell r="O122" t="str">
            <v>-</v>
          </cell>
        </row>
        <row r="123">
          <cell r="C123" t="str">
            <v>PK034</v>
          </cell>
          <cell r="D123" t="str">
            <v>bbq버거포장지</v>
          </cell>
          <cell r="E123" t="str">
            <v xml:space="preserve">bbq Burger Wrapper </v>
          </cell>
          <cell r="K123">
            <v>1</v>
          </cell>
          <cell r="L123" t="str">
            <v>g</v>
          </cell>
          <cell r="M123" t="str">
            <v>-</v>
          </cell>
          <cell r="O123" t="str">
            <v>-</v>
          </cell>
        </row>
        <row r="124">
          <cell r="C124" t="str">
            <v>PK035</v>
          </cell>
          <cell r="D124" t="str">
            <v>유산지(대)</v>
          </cell>
          <cell r="E124" t="str">
            <v>Parchment Paper(L)</v>
          </cell>
          <cell r="K124">
            <v>1</v>
          </cell>
          <cell r="L124" t="str">
            <v>g</v>
          </cell>
          <cell r="M124" t="str">
            <v>-</v>
          </cell>
          <cell r="O124" t="str">
            <v>-</v>
          </cell>
        </row>
        <row r="125">
          <cell r="C125" t="str">
            <v>PK036</v>
          </cell>
          <cell r="D125" t="str">
            <v>감자튀김백</v>
          </cell>
          <cell r="E125" t="str">
            <v xml:space="preserve">French Fries Bag </v>
          </cell>
          <cell r="K125">
            <v>1</v>
          </cell>
          <cell r="L125" t="str">
            <v>g</v>
          </cell>
          <cell r="M125" t="str">
            <v>-</v>
          </cell>
          <cell r="O125" t="str">
            <v>-</v>
          </cell>
        </row>
        <row r="126">
          <cell r="C126" t="str">
            <v>PK037</v>
          </cell>
          <cell r="D126" t="str">
            <v>국물용기(용기+뚜껑)</v>
          </cell>
          <cell r="E126" t="str">
            <v xml:space="preserve">Soup Container </v>
          </cell>
          <cell r="K126">
            <v>1</v>
          </cell>
          <cell r="L126" t="str">
            <v>g</v>
          </cell>
          <cell r="M126" t="str">
            <v>-</v>
          </cell>
          <cell r="O126" t="str">
            <v>-</v>
          </cell>
        </row>
        <row r="127">
          <cell r="C127" t="str">
            <v>PK038</v>
          </cell>
          <cell r="D127" t="str">
            <v xml:space="preserve">G&amp;G 패키지 (대) </v>
          </cell>
          <cell r="E127" t="str">
            <v>G&amp;G Container (L)</v>
          </cell>
          <cell r="K127">
            <v>1</v>
          </cell>
          <cell r="L127" t="str">
            <v>g</v>
          </cell>
          <cell r="M127" t="str">
            <v>-</v>
          </cell>
          <cell r="O127" t="str">
            <v>-</v>
          </cell>
        </row>
        <row r="128">
          <cell r="C128" t="str">
            <v>PK039</v>
          </cell>
          <cell r="D128" t="str">
            <v xml:space="preserve">G&amp;G 패키지 (중) </v>
          </cell>
          <cell r="E128" t="str">
            <v>G&amp;G Container (M)</v>
          </cell>
          <cell r="K128">
            <v>1</v>
          </cell>
          <cell r="L128" t="str">
            <v>g</v>
          </cell>
          <cell r="M128" t="str">
            <v>-</v>
          </cell>
          <cell r="O128" t="str">
            <v>-</v>
          </cell>
        </row>
        <row r="129">
          <cell r="C129" t="str">
            <v>PK040</v>
          </cell>
          <cell r="D129" t="str">
            <v>G&amp;G 크레프트 패키지 (1호)</v>
          </cell>
          <cell r="E129" t="str">
            <v>G&amp;G Craft Package (1")</v>
          </cell>
          <cell r="K129">
            <v>1</v>
          </cell>
          <cell r="L129" t="str">
            <v>g</v>
          </cell>
          <cell r="M129" t="str">
            <v>-</v>
          </cell>
          <cell r="O129" t="str">
            <v>-</v>
          </cell>
        </row>
        <row r="130">
          <cell r="C130" t="str">
            <v>PK041</v>
          </cell>
          <cell r="D130" t="str">
            <v>G&amp;G 크레프트 패키지 (8호)</v>
          </cell>
          <cell r="E130" t="str">
            <v>G&amp;G Craft Package (8")</v>
          </cell>
          <cell r="K130">
            <v>1</v>
          </cell>
          <cell r="L130" t="str">
            <v>g</v>
          </cell>
          <cell r="M130" t="str">
            <v>-</v>
          </cell>
          <cell r="O130" t="str">
            <v>-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MasterSheet"/>
      <sheetName val="CK"/>
      <sheetName val="MasterSheet (2)"/>
      <sheetName val="INVENTORY"/>
      <sheetName val="SALES MIX"/>
      <sheetName val="COSTING SUMMARY"/>
      <sheetName val="COSTING"/>
      <sheetName val="Sample"/>
      <sheetName val="Coco-cole(Hot)"/>
      <sheetName val="Popcorn Chicken"/>
      <sheetName val="Coco-cole(Cheese)"/>
      <sheetName val="French Fries"/>
      <sheetName val="Cheesestick"/>
      <sheetName val="Fried dumpling"/>
      <sheetName val="Steamed Rice"/>
      <sheetName val="Mozzarella Cheese"/>
      <sheetName val="Sundae Ice cream(Vanila)"/>
      <sheetName val="Sundae Ice cream(Choco)"/>
      <sheetName val="Coleslaw"/>
      <sheetName val="Seaweed Roll"/>
      <sheetName val="Cheeseball"/>
      <sheetName val="Chicken Skin"/>
      <sheetName val="Corn Dog"/>
      <sheetName val="Fish Bread"/>
      <sheetName val="Kids meal"/>
      <sheetName val="Japchae"/>
      <sheetName val="K-Boost"/>
      <sheetName val="Misutgaru"/>
      <sheetName val="Golden Fried Wing (1pc)"/>
      <sheetName val="Hot Spicy Wing(1pc) (2)"/>
      <sheetName val="Cheesling Wing(1pc) (2)"/>
      <sheetName val="Golden Fried Wing Combo (4pc)"/>
      <sheetName val="Hot Spicy Rice Combo(4pcs)"/>
      <sheetName val="GFC Rice Combo(4pcs)"/>
    </sheetNames>
    <sheetDataSet>
      <sheetData sheetId="0">
        <row r="16">
          <cell r="B16" t="str">
            <v>P011</v>
          </cell>
          <cell r="C16" t="str">
            <v>블랙페퍼시즈닝</v>
          </cell>
          <cell r="D16" t="str">
            <v xml:space="preserve">Black Pepper Seasoning </v>
          </cell>
          <cell r="E16"/>
          <cell r="F16" t="str">
            <v>15g*50pack*5bag</v>
          </cell>
          <cell r="G16">
            <v>3750</v>
          </cell>
          <cell r="H16"/>
          <cell r="I16">
            <v>0</v>
          </cell>
          <cell r="J16">
            <v>0.98</v>
          </cell>
          <cell r="K16" t="str">
            <v>g</v>
          </cell>
          <cell r="L16">
            <v>0</v>
          </cell>
          <cell r="M16"/>
          <cell r="N16">
            <v>0</v>
          </cell>
        </row>
        <row r="17">
          <cell r="B17" t="str">
            <v>P012</v>
          </cell>
          <cell r="C17" t="str">
            <v>치즈맛시즈닝</v>
          </cell>
          <cell r="D17" t="str">
            <v xml:space="preserve">Cheese Taste Seasoning Mix </v>
          </cell>
          <cell r="E17"/>
          <cell r="F17" t="str">
            <v>1kg*25pack</v>
          </cell>
          <cell r="G17">
            <v>25000</v>
          </cell>
          <cell r="H17">
            <v>7215000</v>
          </cell>
          <cell r="I17">
            <v>300</v>
          </cell>
          <cell r="J17">
            <v>0.98</v>
          </cell>
          <cell r="K17" t="str">
            <v>g</v>
          </cell>
          <cell r="L17">
            <v>294.48979591836735</v>
          </cell>
          <cell r="M17"/>
          <cell r="N17">
            <v>294.48979591836735</v>
          </cell>
        </row>
        <row r="18">
          <cell r="B18" t="str">
            <v>P013</v>
          </cell>
          <cell r="C18" t="str">
            <v>치킨무파우더</v>
          </cell>
          <cell r="D18" t="str">
            <v xml:space="preserve">SAF Powder </v>
          </cell>
          <cell r="E18"/>
          <cell r="F18" t="str">
            <v>10kg/pack</v>
          </cell>
          <cell r="G18">
            <v>20000</v>
          </cell>
          <cell r="H18"/>
          <cell r="I18">
            <v>0</v>
          </cell>
          <cell r="J18">
            <v>0.98</v>
          </cell>
          <cell r="K18" t="str">
            <v>g</v>
          </cell>
          <cell r="L18">
            <v>0</v>
          </cell>
          <cell r="M18"/>
          <cell r="N18">
            <v>0</v>
          </cell>
        </row>
        <row r="19">
          <cell r="B19" t="str">
            <v>P014</v>
          </cell>
          <cell r="C19" t="str">
            <v>속안심시즈닝</v>
          </cell>
          <cell r="D19" t="str">
            <v>Marinade No.5</v>
          </cell>
          <cell r="E19"/>
          <cell r="F19" t="str">
            <v>5kg*4pack</v>
          </cell>
          <cell r="G19">
            <v>20000</v>
          </cell>
          <cell r="H19"/>
          <cell r="I19"/>
          <cell r="J19">
            <v>0.98</v>
          </cell>
          <cell r="K19" t="str">
            <v>g</v>
          </cell>
          <cell r="L19">
            <v>0</v>
          </cell>
          <cell r="M19"/>
          <cell r="N19">
            <v>0</v>
          </cell>
        </row>
        <row r="20">
          <cell r="B20" t="str">
            <v>P015</v>
          </cell>
          <cell r="C20" t="str">
            <v>레드착착시즈닝</v>
          </cell>
          <cell r="D20" t="str">
            <v>Red Spicy Seasoning</v>
          </cell>
          <cell r="E20"/>
          <cell r="F20" t="str">
            <v>30g*50ea*6bag</v>
          </cell>
          <cell r="G20">
            <v>9000</v>
          </cell>
          <cell r="H20"/>
          <cell r="I20">
            <v>0</v>
          </cell>
          <cell r="J20">
            <v>0.98</v>
          </cell>
          <cell r="K20" t="str">
            <v>g</v>
          </cell>
          <cell r="L20">
            <v>0</v>
          </cell>
          <cell r="M20"/>
          <cell r="N20">
            <v>0</v>
          </cell>
        </row>
        <row r="21">
          <cell r="B21" t="str">
            <v>P016</v>
          </cell>
          <cell r="C21"/>
          <cell r="D21"/>
          <cell r="E21"/>
          <cell r="F21"/>
          <cell r="G21"/>
          <cell r="H21"/>
          <cell r="I21"/>
          <cell r="J21"/>
          <cell r="K21"/>
          <cell r="L21" t="str">
            <v>-</v>
          </cell>
          <cell r="M21"/>
          <cell r="N21"/>
        </row>
        <row r="22">
          <cell r="B22" t="str">
            <v>P017</v>
          </cell>
          <cell r="C22"/>
          <cell r="D22"/>
          <cell r="E22"/>
          <cell r="F22"/>
          <cell r="G22"/>
          <cell r="H22"/>
          <cell r="I22"/>
          <cell r="J22"/>
          <cell r="K22"/>
          <cell r="L22" t="str">
            <v>-</v>
          </cell>
          <cell r="M22"/>
          <cell r="N22"/>
        </row>
        <row r="23">
          <cell r="B23" t="str">
            <v>P018</v>
          </cell>
          <cell r="C23"/>
          <cell r="D23"/>
          <cell r="E23"/>
          <cell r="F23" t="str">
            <v>파우더 신규 추가시 사용</v>
          </cell>
          <cell r="G23"/>
          <cell r="H23"/>
          <cell r="I23"/>
          <cell r="J23"/>
          <cell r="K23"/>
          <cell r="L23" t="str">
            <v>-</v>
          </cell>
          <cell r="M23"/>
          <cell r="N23"/>
        </row>
        <row r="24">
          <cell r="B24" t="str">
            <v>P019</v>
          </cell>
          <cell r="C24"/>
          <cell r="D24"/>
          <cell r="E24"/>
          <cell r="F24"/>
          <cell r="G24"/>
          <cell r="H24"/>
          <cell r="I24"/>
          <cell r="J24"/>
          <cell r="K24"/>
          <cell r="L24" t="str">
            <v>-</v>
          </cell>
          <cell r="M24"/>
          <cell r="N24"/>
        </row>
        <row r="25">
          <cell r="B25" t="str">
            <v>P020</v>
          </cell>
          <cell r="C25"/>
          <cell r="D25"/>
          <cell r="E25"/>
          <cell r="F25"/>
          <cell r="G25"/>
          <cell r="H25"/>
          <cell r="I25"/>
          <cell r="J25"/>
          <cell r="K25"/>
          <cell r="L25" t="str">
            <v>-</v>
          </cell>
          <cell r="M25"/>
          <cell r="N25"/>
        </row>
        <row r="26">
          <cell r="B26" t="str">
            <v>P021</v>
          </cell>
          <cell r="C26" t="str">
            <v>튀김가루</v>
          </cell>
          <cell r="D26" t="str">
            <v>Frying Powder</v>
          </cell>
          <cell r="E26"/>
          <cell r="F26"/>
          <cell r="G26"/>
          <cell r="H26"/>
          <cell r="I26" t="e">
            <v>#DIV/0!</v>
          </cell>
          <cell r="J26"/>
          <cell r="K26" t="str">
            <v>g</v>
          </cell>
          <cell r="L26" t="str">
            <v>-</v>
          </cell>
          <cell r="M26"/>
          <cell r="N26" t="str">
            <v>-</v>
          </cell>
        </row>
        <row r="27">
          <cell r="B27" t="str">
            <v>S001</v>
          </cell>
          <cell r="C27" t="str">
            <v>시크릿양념소스</v>
          </cell>
          <cell r="D27" t="str">
            <v>bbq Secret Chicken Spicy Sauce</v>
          </cell>
          <cell r="E27"/>
          <cell r="F27" t="str">
            <v>2kg*5pack</v>
          </cell>
          <cell r="G27">
            <v>10000</v>
          </cell>
          <cell r="H27"/>
          <cell r="I27">
            <v>215</v>
          </cell>
          <cell r="J27">
            <v>0.96</v>
          </cell>
          <cell r="K27" t="str">
            <v>g</v>
          </cell>
          <cell r="L27">
            <v>0</v>
          </cell>
          <cell r="M27"/>
          <cell r="N27">
            <v>0</v>
          </cell>
        </row>
        <row r="28">
          <cell r="B28" t="str">
            <v>S002</v>
          </cell>
          <cell r="C28" t="str">
            <v>매운양념소스</v>
          </cell>
          <cell r="D28" t="str">
            <v>Hot Spicy Sauce</v>
          </cell>
          <cell r="E28"/>
          <cell r="F28" t="str">
            <v>1kg*10pack</v>
          </cell>
          <cell r="G28">
            <v>10000</v>
          </cell>
          <cell r="H28">
            <v>1304250</v>
          </cell>
          <cell r="I28">
            <v>54</v>
          </cell>
          <cell r="J28">
            <v>0.96</v>
          </cell>
          <cell r="K28" t="str">
            <v>g</v>
          </cell>
          <cell r="L28">
            <v>135.85937500000003</v>
          </cell>
          <cell r="M28"/>
          <cell r="N28">
            <v>135.85937500000003</v>
          </cell>
        </row>
        <row r="29">
          <cell r="B29" t="str">
            <v>S003</v>
          </cell>
          <cell r="C29" t="str">
            <v>소이갈릭용소스</v>
          </cell>
          <cell r="D29" t="str">
            <v>Garlic Flavour Soy Sauce</v>
          </cell>
          <cell r="E29"/>
          <cell r="F29" t="str">
            <v>1kg*10pack</v>
          </cell>
          <cell r="G29">
            <v>10000</v>
          </cell>
          <cell r="H29">
            <v>1082250</v>
          </cell>
          <cell r="I29">
            <v>44.5</v>
          </cell>
          <cell r="J29">
            <v>0.96</v>
          </cell>
          <cell r="K29" t="str">
            <v>g</v>
          </cell>
          <cell r="L29">
            <v>112.734375</v>
          </cell>
          <cell r="M29"/>
          <cell r="N29">
            <v>112.734375</v>
          </cell>
        </row>
        <row r="30">
          <cell r="B30" t="str">
            <v>S004</v>
          </cell>
          <cell r="C30" t="str">
            <v>허니갈릭용소스</v>
          </cell>
          <cell r="D30" t="str">
            <v>Garlic Flavour Honey Sauce</v>
          </cell>
          <cell r="E30"/>
          <cell r="F30" t="str">
            <v>2kg*5pack</v>
          </cell>
          <cell r="G30">
            <v>10000</v>
          </cell>
          <cell r="H30"/>
          <cell r="I30">
            <v>378</v>
          </cell>
          <cell r="J30">
            <v>0.96</v>
          </cell>
          <cell r="K30" t="str">
            <v>g</v>
          </cell>
          <cell r="L30">
            <v>0</v>
          </cell>
          <cell r="M30"/>
          <cell r="N30">
            <v>0</v>
          </cell>
        </row>
        <row r="31">
          <cell r="B31" t="str">
            <v>S005</v>
          </cell>
          <cell r="C31" t="str">
            <v>치킨강정소스</v>
          </cell>
          <cell r="D31" t="str">
            <v>Honey pepper Sauce</v>
          </cell>
          <cell r="E31"/>
          <cell r="F31" t="str">
            <v>2kg*6pack</v>
          </cell>
          <cell r="G31">
            <v>12000</v>
          </cell>
          <cell r="H31">
            <v>1370850</v>
          </cell>
          <cell r="I31">
            <v>57</v>
          </cell>
          <cell r="J31">
            <v>0.96</v>
          </cell>
          <cell r="K31" t="str">
            <v>g</v>
          </cell>
          <cell r="L31">
            <v>118.99739583333333</v>
          </cell>
          <cell r="M31"/>
          <cell r="N31">
            <v>118.99739583333333</v>
          </cell>
        </row>
        <row r="32">
          <cell r="B32" t="str">
            <v>S006</v>
          </cell>
          <cell r="C32" t="str">
            <v>극한왕갈비소스</v>
          </cell>
          <cell r="D32" t="str">
            <v>Galbi Flavour Sauce Mix</v>
          </cell>
          <cell r="E32"/>
          <cell r="F32" t="str">
            <v>2kg*6pack</v>
          </cell>
          <cell r="G32">
            <v>12000</v>
          </cell>
          <cell r="H32"/>
          <cell r="I32"/>
          <cell r="J32">
            <v>0.96</v>
          </cell>
          <cell r="K32" t="str">
            <v>g</v>
          </cell>
          <cell r="L32">
            <v>0</v>
          </cell>
          <cell r="M32"/>
          <cell r="N32">
            <v>0</v>
          </cell>
        </row>
        <row r="33">
          <cell r="B33" t="str">
            <v>S007</v>
          </cell>
          <cell r="C33" t="str">
            <v>매운 극한 왕갈비 소스</v>
          </cell>
          <cell r="D33" t="str">
            <v>Hot Ultimate wang Galbi Sauce</v>
          </cell>
          <cell r="E33"/>
          <cell r="F33" t="str">
            <v>2kg*6pack</v>
          </cell>
          <cell r="G33">
            <v>12000</v>
          </cell>
          <cell r="H33"/>
          <cell r="I33"/>
          <cell r="J33">
            <v>0.96</v>
          </cell>
          <cell r="K33" t="str">
            <v>g</v>
          </cell>
          <cell r="L33">
            <v>0</v>
          </cell>
          <cell r="M33"/>
          <cell r="N33">
            <v>0</v>
          </cell>
        </row>
        <row r="34">
          <cell r="B34" t="str">
            <v>S008</v>
          </cell>
          <cell r="C34" t="str">
            <v>꼬꼬칸풍소스</v>
          </cell>
          <cell r="D34" t="str">
            <v>KP Sauce</v>
          </cell>
          <cell r="E34"/>
          <cell r="F34" t="str">
            <v>2kg*5pack</v>
          </cell>
          <cell r="G34">
            <v>10000</v>
          </cell>
          <cell r="H34"/>
          <cell r="I34"/>
          <cell r="J34">
            <v>0.96</v>
          </cell>
          <cell r="K34" t="str">
            <v>g</v>
          </cell>
          <cell r="L34">
            <v>0</v>
          </cell>
          <cell r="M34"/>
          <cell r="N34">
            <v>0</v>
          </cell>
        </row>
        <row r="35">
          <cell r="B35" t="str">
            <v>S009</v>
          </cell>
          <cell r="C35" t="str">
            <v>빠리간장소스</v>
          </cell>
          <cell r="D35" t="str">
            <v>Deri Sauce Mix(P_Type)</v>
          </cell>
          <cell r="E35"/>
          <cell r="F35" t="str">
            <v>2kg*5pack</v>
          </cell>
          <cell r="G35">
            <v>10000</v>
          </cell>
          <cell r="H35"/>
          <cell r="I35">
            <v>276</v>
          </cell>
          <cell r="J35">
            <v>0.96</v>
          </cell>
          <cell r="K35" t="str">
            <v>g</v>
          </cell>
          <cell r="L35">
            <v>0</v>
          </cell>
          <cell r="M35"/>
          <cell r="N35">
            <v>0</v>
          </cell>
        </row>
        <row r="36">
          <cell r="B36" t="str">
            <v>S010</v>
          </cell>
          <cell r="C36" t="str">
            <v>마라핫소스</v>
          </cell>
          <cell r="D36" t="str">
            <v>Mala Hot Sauce</v>
          </cell>
          <cell r="E36"/>
          <cell r="F36" t="str">
            <v>2kg*6pack</v>
          </cell>
          <cell r="G36">
            <v>12000</v>
          </cell>
          <cell r="H36">
            <v>1443000</v>
          </cell>
          <cell r="I36">
            <v>60.3</v>
          </cell>
          <cell r="J36">
            <v>0.96</v>
          </cell>
          <cell r="K36" t="str">
            <v>g</v>
          </cell>
          <cell r="L36">
            <v>125.26041666666667</v>
          </cell>
          <cell r="M36"/>
          <cell r="N36">
            <v>125.26041666666667</v>
          </cell>
        </row>
        <row r="37">
          <cell r="B37" t="str">
            <v>S011</v>
          </cell>
          <cell r="C37" t="str">
            <v>신올떡볶이소스</v>
          </cell>
          <cell r="D37" t="str">
            <v>Shin Alltokkbokki Sauce</v>
          </cell>
          <cell r="E37"/>
          <cell r="F37" t="str">
            <v>2kg*5pack</v>
          </cell>
          <cell r="G37">
            <v>10000</v>
          </cell>
          <cell r="H37"/>
          <cell r="I37">
            <v>450</v>
          </cell>
          <cell r="J37">
            <v>0.96</v>
          </cell>
          <cell r="K37" t="str">
            <v>g</v>
          </cell>
          <cell r="L37">
            <v>0</v>
          </cell>
          <cell r="M37"/>
          <cell r="N37">
            <v>0</v>
          </cell>
        </row>
        <row r="38">
          <cell r="B38" t="str">
            <v>S012</v>
          </cell>
          <cell r="C38" t="str">
            <v>통다리바베큐소스</v>
          </cell>
          <cell r="D38" t="str">
            <v>Jerk Barbeque Sauce</v>
          </cell>
          <cell r="E38"/>
          <cell r="F38" t="str">
            <v>2kg*5pack</v>
          </cell>
          <cell r="G38">
            <v>10000</v>
          </cell>
          <cell r="H38"/>
          <cell r="I38"/>
          <cell r="J38">
            <v>0.96</v>
          </cell>
          <cell r="K38" t="str">
            <v>g</v>
          </cell>
          <cell r="L38">
            <v>0</v>
          </cell>
          <cell r="M38"/>
          <cell r="N38">
            <v>0</v>
          </cell>
        </row>
        <row r="39">
          <cell r="B39" t="str">
            <v>S013</v>
          </cell>
          <cell r="C39" t="str">
            <v>자메이카소떡만나소스</v>
          </cell>
          <cell r="D39" t="str">
            <v>Jasoman Sauce</v>
          </cell>
          <cell r="E39"/>
          <cell r="F39" t="str">
            <v>2kg*6pack</v>
          </cell>
          <cell r="G39">
            <v>12000</v>
          </cell>
          <cell r="H39"/>
          <cell r="I39"/>
          <cell r="J39">
            <v>0.96</v>
          </cell>
          <cell r="K39" t="str">
            <v>g</v>
          </cell>
          <cell r="L39">
            <v>0</v>
          </cell>
          <cell r="M39"/>
          <cell r="N39">
            <v>0</v>
          </cell>
        </row>
        <row r="40">
          <cell r="B40" t="str">
            <v>S015</v>
          </cell>
          <cell r="C40" t="str">
            <v>BBQ양념소스</v>
          </cell>
          <cell r="D40" t="str">
            <v>BBQ New Yangnyum Sauce</v>
          </cell>
          <cell r="E40"/>
          <cell r="F40" t="str">
            <v>2kg*5pack</v>
          </cell>
          <cell r="G40">
            <v>10000</v>
          </cell>
          <cell r="H40"/>
          <cell r="I40">
            <v>256</v>
          </cell>
          <cell r="J40">
            <v>0.96</v>
          </cell>
          <cell r="K40" t="str">
            <v>g</v>
          </cell>
          <cell r="L40">
            <v>0</v>
          </cell>
          <cell r="M40"/>
          <cell r="N40">
            <v>0</v>
          </cell>
        </row>
        <row r="41">
          <cell r="B41" t="str">
            <v>S016</v>
          </cell>
          <cell r="C41" t="str">
            <v>메이플버터갈릭소스</v>
          </cell>
          <cell r="D41" t="str">
            <v>Maple Butter Garlic Sauce</v>
          </cell>
          <cell r="E41"/>
          <cell r="F41" t="str">
            <v>2kg*5bag</v>
          </cell>
          <cell r="G41">
            <v>10000</v>
          </cell>
          <cell r="H41"/>
          <cell r="I41">
            <v>367</v>
          </cell>
          <cell r="J41">
            <v>0.96</v>
          </cell>
          <cell r="K41" t="str">
            <v>g</v>
          </cell>
          <cell r="L41">
            <v>0</v>
          </cell>
          <cell r="M41"/>
          <cell r="N41">
            <v>0</v>
          </cell>
        </row>
        <row r="42">
          <cell r="B42" t="str">
            <v>S017</v>
          </cell>
          <cell r="C42"/>
          <cell r="D42"/>
          <cell r="E42"/>
          <cell r="F42"/>
          <cell r="G42"/>
          <cell r="H42"/>
          <cell r="I42" t="e">
            <v>#DIV/0!</v>
          </cell>
          <cell r="J42">
            <v>0.96</v>
          </cell>
          <cell r="K42" t="str">
            <v>g</v>
          </cell>
          <cell r="L42" t="str">
            <v>-</v>
          </cell>
          <cell r="M42"/>
          <cell r="N42" t="str">
            <v>-</v>
          </cell>
        </row>
        <row r="43">
          <cell r="B43" t="str">
            <v>S018</v>
          </cell>
          <cell r="C43"/>
          <cell r="D43"/>
          <cell r="E43"/>
          <cell r="F43"/>
          <cell r="G43"/>
          <cell r="H43"/>
          <cell r="I43" t="e">
            <v>#DIV/0!</v>
          </cell>
          <cell r="J43">
            <v>0.96</v>
          </cell>
          <cell r="K43" t="str">
            <v>g</v>
          </cell>
          <cell r="L43" t="str">
            <v>-</v>
          </cell>
          <cell r="M43"/>
          <cell r="N43" t="str">
            <v>-</v>
          </cell>
        </row>
        <row r="44">
          <cell r="B44" t="str">
            <v>S020</v>
          </cell>
          <cell r="C44" t="str">
            <v>레몬보이</v>
          </cell>
          <cell r="D44" t="str">
            <v>Lemon Boi</v>
          </cell>
          <cell r="E44"/>
          <cell r="F44" t="str">
            <v>30ea</v>
          </cell>
          <cell r="G44">
            <v>30</v>
          </cell>
          <cell r="H44"/>
          <cell r="I44">
            <v>0</v>
          </cell>
          <cell r="J44">
            <v>0.96</v>
          </cell>
          <cell r="K44" t="str">
            <v>ea</v>
          </cell>
          <cell r="L44">
            <v>0</v>
          </cell>
          <cell r="M44"/>
          <cell r="N44">
            <v>0</v>
          </cell>
        </row>
        <row r="45">
          <cell r="B45" t="str">
            <v>S021</v>
          </cell>
          <cell r="C45" t="str">
            <v>켓첩</v>
          </cell>
          <cell r="D45" t="str">
            <v>Ketchup</v>
          </cell>
          <cell r="E45"/>
          <cell r="F45" t="str">
            <v>1Kg*10pack</v>
          </cell>
          <cell r="G45">
            <v>10000</v>
          </cell>
          <cell r="H45">
            <v>156400</v>
          </cell>
          <cell r="I45">
            <v>9.5716034271725832</v>
          </cell>
          <cell r="J45">
            <v>0.96</v>
          </cell>
          <cell r="K45" t="str">
            <v>g</v>
          </cell>
          <cell r="L45">
            <v>16.291666666666668</v>
          </cell>
          <cell r="M45"/>
          <cell r="N45">
            <v>16.291666666666668</v>
          </cell>
        </row>
        <row r="46">
          <cell r="B46" t="str">
            <v>S027</v>
          </cell>
          <cell r="C46" t="str">
            <v>굴소스</v>
          </cell>
          <cell r="D46" t="str">
            <v>Oyster Sauce</v>
          </cell>
          <cell r="E46"/>
          <cell r="F46" t="str">
            <v>770g</v>
          </cell>
          <cell r="G46">
            <v>770</v>
          </cell>
          <cell r="H46">
            <v>54501</v>
          </cell>
          <cell r="I46">
            <v>3.3354345165238679</v>
          </cell>
          <cell r="J46">
            <v>0.99</v>
          </cell>
          <cell r="K46" t="str">
            <v>g</v>
          </cell>
          <cell r="L46">
            <v>71.495474222746964</v>
          </cell>
          <cell r="M46"/>
          <cell r="N46">
            <v>71.495474222746964</v>
          </cell>
        </row>
        <row r="47">
          <cell r="B47" t="str">
            <v>S028</v>
          </cell>
          <cell r="C47" t="str">
            <v>고추장</v>
          </cell>
          <cell r="D47" t="str">
            <v>Hot Pepper paste</v>
          </cell>
          <cell r="E47"/>
          <cell r="F47" t="str">
            <v>2.8kg</v>
          </cell>
          <cell r="G47">
            <v>28000</v>
          </cell>
          <cell r="H47">
            <v>71793.960000000006</v>
          </cell>
          <cell r="I47">
            <v>4.3937552019583848</v>
          </cell>
          <cell r="J47">
            <v>0.99</v>
          </cell>
          <cell r="K47" t="str">
            <v>g</v>
          </cell>
          <cell r="L47">
            <v>2.589969696969697</v>
          </cell>
          <cell r="M47"/>
          <cell r="N47">
            <v>2.589969696969697</v>
          </cell>
        </row>
        <row r="48">
          <cell r="B48" t="str">
            <v>S029</v>
          </cell>
          <cell r="C48" t="str">
            <v>간장(진)</v>
          </cell>
          <cell r="D48" t="str">
            <v>Soy Sauce</v>
          </cell>
          <cell r="E48"/>
          <cell r="F48" t="str">
            <v>1kg</v>
          </cell>
          <cell r="G48">
            <v>1000</v>
          </cell>
          <cell r="H48">
            <v>79549.8</v>
          </cell>
          <cell r="I48">
            <v>4.8684088127294984</v>
          </cell>
          <cell r="J48">
            <v>0.99</v>
          </cell>
          <cell r="K48" t="str">
            <v>g</v>
          </cell>
          <cell r="L48">
            <v>80.353333333333339</v>
          </cell>
          <cell r="M48"/>
          <cell r="N48">
            <v>80.353333333333339</v>
          </cell>
        </row>
        <row r="49">
          <cell r="B49" t="str">
            <v>S039</v>
          </cell>
          <cell r="C49" t="str">
            <v>마요네즈</v>
          </cell>
          <cell r="D49" t="str">
            <v>KEWPIE CHEF STYLE MAYO</v>
          </cell>
          <cell r="E49"/>
          <cell r="F49" t="str">
            <v>3kg</v>
          </cell>
          <cell r="G49">
            <v>3000</v>
          </cell>
          <cell r="H49">
            <v>144999.9</v>
          </cell>
          <cell r="I49">
            <v>8.8739228886168906</v>
          </cell>
          <cell r="J49">
            <v>0.99</v>
          </cell>
          <cell r="K49" t="str">
            <v>g</v>
          </cell>
          <cell r="L49">
            <v>48.82151515151515</v>
          </cell>
          <cell r="M49"/>
          <cell r="N49">
            <v>48.82151515151515</v>
          </cell>
        </row>
        <row r="50">
          <cell r="B50" t="str">
            <v>S059</v>
          </cell>
          <cell r="C50" t="str">
            <v>불닭소스</v>
          </cell>
          <cell r="D50" t="str">
            <v>Buldak Sauce</v>
          </cell>
          <cell r="E50"/>
          <cell r="F50" t="str">
            <v>2kg</v>
          </cell>
          <cell r="G50">
            <v>2000</v>
          </cell>
          <cell r="H50">
            <v>130000</v>
          </cell>
          <cell r="I50">
            <v>7.9559363525091795</v>
          </cell>
          <cell r="J50">
            <v>0.99</v>
          </cell>
          <cell r="K50" t="str">
            <v>g</v>
          </cell>
          <cell r="L50">
            <v>65.656565656565661</v>
          </cell>
          <cell r="M50"/>
          <cell r="N50">
            <v>65.656565656565661</v>
          </cell>
        </row>
        <row r="51">
          <cell r="B51" t="str">
            <v>S060</v>
          </cell>
          <cell r="C51"/>
          <cell r="D51" t="str">
            <v>Dark Soy Sauce</v>
          </cell>
          <cell r="E51"/>
          <cell r="F51" t="str">
            <v>500g</v>
          </cell>
          <cell r="G51">
            <v>500</v>
          </cell>
          <cell r="H51">
            <v>36741</v>
          </cell>
          <cell r="I51"/>
          <cell r="J51">
            <v>1</v>
          </cell>
          <cell r="K51" t="str">
            <v>g</v>
          </cell>
          <cell r="L51">
            <v>73.481999999999999</v>
          </cell>
          <cell r="M51"/>
          <cell r="N51">
            <v>73.481999999999999</v>
          </cell>
        </row>
        <row r="52">
          <cell r="B52" t="str">
            <v>CH001</v>
          </cell>
          <cell r="C52" t="str">
            <v>신선육 (1.3kg)</v>
          </cell>
          <cell r="D52" t="str">
            <v>Injected Whole Chicken (1.25kg)</v>
          </cell>
          <cell r="E52"/>
          <cell r="F52" t="str">
            <v>1.25kg</v>
          </cell>
          <cell r="G52">
            <v>1250</v>
          </cell>
          <cell r="H52">
            <v>44375</v>
          </cell>
          <cell r="I52">
            <v>2.7157282741738067</v>
          </cell>
          <cell r="J52">
            <v>1</v>
          </cell>
          <cell r="K52" t="str">
            <v>g</v>
          </cell>
          <cell r="L52">
            <v>35.5</v>
          </cell>
          <cell r="M52"/>
          <cell r="N52">
            <v>35.5</v>
          </cell>
        </row>
        <row r="53">
          <cell r="B53" t="str">
            <v>CH008</v>
          </cell>
          <cell r="C53" t="str">
            <v>순살원육 (엉치)</v>
          </cell>
          <cell r="D53" t="str">
            <v>Boneless Chicken (Thigh)</v>
          </cell>
          <cell r="E53"/>
          <cell r="F53" t="str">
            <v>1Kg</v>
          </cell>
          <cell r="G53">
            <v>1000</v>
          </cell>
          <cell r="H53">
            <v>42600</v>
          </cell>
          <cell r="I53">
            <v>2.6070991432068542</v>
          </cell>
          <cell r="J53">
            <v>0.98</v>
          </cell>
          <cell r="K53" t="str">
            <v>g</v>
          </cell>
          <cell r="L53">
            <v>43.469387755102041</v>
          </cell>
          <cell r="M53"/>
          <cell r="N53">
            <v>43.469387755102041</v>
          </cell>
        </row>
        <row r="54">
          <cell r="B54" t="str">
            <v>CH009</v>
          </cell>
          <cell r="C54" t="str">
            <v>순살원육 (가슴)</v>
          </cell>
          <cell r="D54" t="str">
            <v>Boneless Chicken (Breast)</v>
          </cell>
          <cell r="E54"/>
          <cell r="F54" t="str">
            <v>1kg</v>
          </cell>
          <cell r="G54">
            <v>1000</v>
          </cell>
          <cell r="H54">
            <v>48000</v>
          </cell>
          <cell r="I54">
            <v>2.9375764993880047</v>
          </cell>
          <cell r="J54">
            <v>0.98</v>
          </cell>
          <cell r="K54" t="str">
            <v>g</v>
          </cell>
          <cell r="L54">
            <v>48.979591836734691</v>
          </cell>
          <cell r="M54"/>
          <cell r="N54">
            <v>48.979591836734691</v>
          </cell>
        </row>
        <row r="55">
          <cell r="B55" t="str">
            <v>CH015</v>
          </cell>
          <cell r="C55" t="str">
            <v>VAP 순살</v>
          </cell>
          <cell r="D55" t="str">
            <v>VAP Boneless Chicken</v>
          </cell>
          <cell r="E55"/>
          <cell r="F55" t="str">
            <v>1kg</v>
          </cell>
          <cell r="G55">
            <v>1000</v>
          </cell>
          <cell r="H55"/>
          <cell r="I55">
            <v>0</v>
          </cell>
          <cell r="J55">
            <v>1</v>
          </cell>
          <cell r="K55" t="str">
            <v>g</v>
          </cell>
          <cell r="L55">
            <v>0</v>
          </cell>
          <cell r="M55"/>
          <cell r="N55">
            <v>0</v>
          </cell>
        </row>
        <row r="56">
          <cell r="B56" t="str">
            <v>CH016</v>
          </cell>
          <cell r="C56" t="str">
            <v>VAP 속안심</v>
          </cell>
          <cell r="D56" t="str">
            <v>VAP Chicken Tender</v>
          </cell>
          <cell r="E56"/>
          <cell r="F56" t="str">
            <v>470g</v>
          </cell>
          <cell r="G56">
            <v>470</v>
          </cell>
          <cell r="H56">
            <v>41899.89</v>
          </cell>
          <cell r="I56">
            <v>2.5642527539779683</v>
          </cell>
          <cell r="J56">
            <v>1</v>
          </cell>
          <cell r="K56" t="str">
            <v>g</v>
          </cell>
          <cell r="L56">
            <v>89.148702127659575</v>
          </cell>
          <cell r="M56"/>
          <cell r="N56">
            <v>89.148702127659575</v>
          </cell>
        </row>
        <row r="57">
          <cell r="B57" t="str">
            <v>CH002</v>
          </cell>
          <cell r="C57" t="str">
            <v>부분육 (1.3kg)</v>
          </cell>
          <cell r="D57" t="str">
            <v>Injected Partial Chicken (1.3kg)</v>
          </cell>
          <cell r="E57"/>
          <cell r="F57" t="str">
            <v>1.3kg</v>
          </cell>
          <cell r="G57">
            <v>1300</v>
          </cell>
          <cell r="H57">
            <v>43250</v>
          </cell>
          <cell r="I57">
            <v>2.6468788249694004</v>
          </cell>
          <cell r="J57">
            <v>0.95</v>
          </cell>
          <cell r="K57" t="str">
            <v>g</v>
          </cell>
          <cell r="L57">
            <v>35.020242914979754</v>
          </cell>
          <cell r="M57"/>
          <cell r="N57">
            <v>35.020242914979754</v>
          </cell>
        </row>
        <row r="58">
          <cell r="B58" t="str">
            <v>M016</v>
          </cell>
          <cell r="C58" t="str">
            <v>어묵</v>
          </cell>
          <cell r="D58" t="str">
            <v>Fish Cake</v>
          </cell>
          <cell r="E58"/>
          <cell r="F58" t="str">
            <v>1kg</v>
          </cell>
          <cell r="G58">
            <v>1000</v>
          </cell>
          <cell r="H58">
            <v>61050</v>
          </cell>
          <cell r="I58">
            <v>3.7362301101591187</v>
          </cell>
          <cell r="J58">
            <v>1</v>
          </cell>
          <cell r="K58" t="str">
            <v>g</v>
          </cell>
          <cell r="L58">
            <v>61.05</v>
          </cell>
          <cell r="M58"/>
          <cell r="N58">
            <v>61.05</v>
          </cell>
        </row>
        <row r="59">
          <cell r="B59" t="str">
            <v>O002</v>
          </cell>
          <cell r="C59" t="str">
            <v>참기름</v>
          </cell>
          <cell r="D59" t="str">
            <v>Sesame Oil</v>
          </cell>
          <cell r="E59"/>
          <cell r="F59" t="str">
            <v>1.8L</v>
          </cell>
          <cell r="G59">
            <v>1800</v>
          </cell>
          <cell r="H59">
            <v>179487</v>
          </cell>
          <cell r="I59">
            <v>10.984516523867809</v>
          </cell>
          <cell r="J59">
            <v>0.99</v>
          </cell>
          <cell r="K59" t="str">
            <v>g</v>
          </cell>
          <cell r="L59">
            <v>100.72222222222223</v>
          </cell>
          <cell r="M59"/>
          <cell r="N59">
            <v>100.72222222222223</v>
          </cell>
        </row>
        <row r="60">
          <cell r="B60" t="str">
            <v>O009</v>
          </cell>
          <cell r="C60" t="str">
            <v>팜유</v>
          </cell>
          <cell r="D60" t="str">
            <v>Palm Oil</v>
          </cell>
          <cell r="E60"/>
          <cell r="F60" t="str">
            <v>15kg</v>
          </cell>
          <cell r="G60">
            <v>15000</v>
          </cell>
          <cell r="H60">
            <v>381750</v>
          </cell>
          <cell r="I60">
            <v>23.362913096695227</v>
          </cell>
          <cell r="J60">
            <v>0.99</v>
          </cell>
          <cell r="K60" t="str">
            <v>g</v>
          </cell>
          <cell r="L60">
            <v>25.707070707070706</v>
          </cell>
          <cell r="M60"/>
          <cell r="N60">
            <v>25.707070707070706</v>
          </cell>
        </row>
        <row r="61">
          <cell r="B61" t="str">
            <v>V003</v>
          </cell>
          <cell r="C61" t="str">
            <v>쪽파</v>
          </cell>
          <cell r="D61" t="str">
            <v>Scallion(Green Onion)</v>
          </cell>
          <cell r="E61"/>
          <cell r="F61" t="str">
            <v>1kg</v>
          </cell>
          <cell r="G61">
            <v>1000</v>
          </cell>
          <cell r="H61">
            <v>28000</v>
          </cell>
          <cell r="I61">
            <v>1.7135862913096696</v>
          </cell>
          <cell r="J61">
            <v>0.95</v>
          </cell>
          <cell r="K61" t="str">
            <v>g</v>
          </cell>
          <cell r="L61">
            <v>29.473684210526319</v>
          </cell>
          <cell r="M61"/>
          <cell r="N61">
            <v>29.473684210526319</v>
          </cell>
        </row>
        <row r="62">
          <cell r="B62" t="str">
            <v>V004</v>
          </cell>
          <cell r="C62" t="str">
            <v>청고추</v>
          </cell>
          <cell r="D62" t="str">
            <v>Green Chili Pepper</v>
          </cell>
          <cell r="E62"/>
          <cell r="F62" t="str">
            <v>1kg</v>
          </cell>
          <cell r="G62">
            <v>1000</v>
          </cell>
          <cell r="H62">
            <v>11000</v>
          </cell>
          <cell r="I62">
            <v>0.67319461444308448</v>
          </cell>
          <cell r="J62">
            <v>0.9</v>
          </cell>
          <cell r="K62" t="str">
            <v>g</v>
          </cell>
          <cell r="L62">
            <v>12.222222222222221</v>
          </cell>
          <cell r="M62"/>
          <cell r="N62">
            <v>12.222222222222221</v>
          </cell>
        </row>
        <row r="63">
          <cell r="B63" t="str">
            <v>V005</v>
          </cell>
          <cell r="C63" t="str">
            <v>홍고추</v>
          </cell>
          <cell r="D63" t="str">
            <v>Red Chili Pepper</v>
          </cell>
          <cell r="E63"/>
          <cell r="F63" t="str">
            <v>1kg</v>
          </cell>
          <cell r="G63">
            <v>1000</v>
          </cell>
          <cell r="H63">
            <v>13000</v>
          </cell>
          <cell r="I63">
            <v>0.79559363525091797</v>
          </cell>
          <cell r="J63">
            <v>0.9</v>
          </cell>
          <cell r="K63" t="str">
            <v>g</v>
          </cell>
          <cell r="L63">
            <v>14.444444444444445</v>
          </cell>
          <cell r="M63"/>
          <cell r="N63">
            <v>14.444444444444445</v>
          </cell>
        </row>
        <row r="64">
          <cell r="B64" t="str">
            <v>V007</v>
          </cell>
          <cell r="C64" t="str">
            <v xml:space="preserve">양파 </v>
          </cell>
          <cell r="D64" t="str">
            <v>White Onion</v>
          </cell>
          <cell r="E64"/>
          <cell r="F64" t="str">
            <v>1kg</v>
          </cell>
          <cell r="G64">
            <v>1000</v>
          </cell>
          <cell r="H64">
            <v>32000</v>
          </cell>
          <cell r="I64">
            <v>1.9583843329253365</v>
          </cell>
          <cell r="J64">
            <v>0.95</v>
          </cell>
          <cell r="K64" t="str">
            <v>g</v>
          </cell>
          <cell r="L64">
            <v>33.684210526315788</v>
          </cell>
          <cell r="M64"/>
          <cell r="N64">
            <v>33.684210526315788</v>
          </cell>
        </row>
        <row r="65">
          <cell r="B65" t="str">
            <v>V008</v>
          </cell>
          <cell r="C65" t="str">
            <v>쌀</v>
          </cell>
          <cell r="D65" t="str">
            <v>Rice</v>
          </cell>
          <cell r="E65"/>
          <cell r="F65" t="str">
            <v>1kg</v>
          </cell>
          <cell r="G65">
            <v>1000</v>
          </cell>
          <cell r="H65">
            <v>14700</v>
          </cell>
          <cell r="I65">
            <v>0.89963280293757653</v>
          </cell>
          <cell r="J65">
            <v>2</v>
          </cell>
          <cell r="K65" t="str">
            <v>g</v>
          </cell>
          <cell r="L65">
            <v>7.35</v>
          </cell>
          <cell r="M65"/>
          <cell r="N65">
            <v>7.35</v>
          </cell>
        </row>
        <row r="66">
          <cell r="B66" t="str">
            <v>V009</v>
          </cell>
          <cell r="C66" t="str">
            <v>당근</v>
          </cell>
          <cell r="D66" t="str">
            <v>Carrot</v>
          </cell>
          <cell r="E66"/>
          <cell r="F66" t="str">
            <v>1kg</v>
          </cell>
          <cell r="G66">
            <v>1000</v>
          </cell>
          <cell r="H66">
            <v>23000</v>
          </cell>
          <cell r="I66">
            <v>1.4075887392900857</v>
          </cell>
          <cell r="J66">
            <v>0.95</v>
          </cell>
          <cell r="K66" t="str">
            <v>g</v>
          </cell>
          <cell r="L66">
            <v>24.210526315789476</v>
          </cell>
          <cell r="M66"/>
          <cell r="N66">
            <v>24.210526315789476</v>
          </cell>
        </row>
        <row r="67">
          <cell r="B67" t="str">
            <v>V024</v>
          </cell>
          <cell r="C67" t="str">
            <v>목이버섯</v>
          </cell>
          <cell r="D67" t="str">
            <v>Ear Mushroom</v>
          </cell>
          <cell r="E67"/>
          <cell r="F67" t="str">
            <v>1kg</v>
          </cell>
          <cell r="G67">
            <v>1000</v>
          </cell>
          <cell r="H67">
            <v>25000</v>
          </cell>
          <cell r="I67">
            <v>1.5299877600979193</v>
          </cell>
          <cell r="J67">
            <v>0.95</v>
          </cell>
          <cell r="K67" t="str">
            <v>g</v>
          </cell>
          <cell r="L67">
            <v>26.315789473684212</v>
          </cell>
          <cell r="M67"/>
          <cell r="N67">
            <v>26.315789473684212</v>
          </cell>
        </row>
        <row r="68">
          <cell r="B68" t="str">
            <v>V031</v>
          </cell>
          <cell r="C68" t="str">
            <v>양배추</v>
          </cell>
          <cell r="D68" t="str">
            <v>Cabbage</v>
          </cell>
          <cell r="E68"/>
          <cell r="F68" t="str">
            <v>1Kg</v>
          </cell>
          <cell r="G68">
            <v>1000</v>
          </cell>
          <cell r="H68">
            <v>11500</v>
          </cell>
          <cell r="I68">
            <v>0.70379436964504283</v>
          </cell>
          <cell r="J68">
            <v>0.95</v>
          </cell>
          <cell r="K68" t="str">
            <v>g</v>
          </cell>
          <cell r="L68">
            <v>12.105263157894738</v>
          </cell>
          <cell r="M68"/>
          <cell r="N68">
            <v>12.105263157894738</v>
          </cell>
        </row>
        <row r="69">
          <cell r="B69" t="str">
            <v>V033</v>
          </cell>
          <cell r="C69" t="str">
            <v>파프리카(빨강)</v>
          </cell>
          <cell r="D69" t="str">
            <v>Paprika(Red)</v>
          </cell>
          <cell r="E69"/>
          <cell r="F69" t="str">
            <v>1Kg</v>
          </cell>
          <cell r="G69">
            <v>1000</v>
          </cell>
          <cell r="H69">
            <v>14500</v>
          </cell>
          <cell r="I69">
            <v>0.88739290085679312</v>
          </cell>
          <cell r="J69">
            <v>0.95</v>
          </cell>
          <cell r="K69" t="str">
            <v>g</v>
          </cell>
          <cell r="L69">
            <v>15.263157894736842</v>
          </cell>
          <cell r="M69"/>
          <cell r="N69">
            <v>15.263157894736842</v>
          </cell>
        </row>
        <row r="70">
          <cell r="B70" t="str">
            <v>V035</v>
          </cell>
          <cell r="C70" t="str">
            <v>파프리카(초록)</v>
          </cell>
          <cell r="D70" t="str">
            <v>Paprika(Green)</v>
          </cell>
          <cell r="E70"/>
          <cell r="F70" t="str">
            <v>1Kg</v>
          </cell>
          <cell r="G70">
            <v>1000</v>
          </cell>
          <cell r="H70">
            <v>58000</v>
          </cell>
          <cell r="I70">
            <v>3.5495716034271725</v>
          </cell>
          <cell r="J70">
            <v>0.95</v>
          </cell>
          <cell r="K70" t="str">
            <v>g</v>
          </cell>
          <cell r="L70">
            <v>61.05263157894737</v>
          </cell>
          <cell r="M70"/>
          <cell r="N70">
            <v>61.05263157894737</v>
          </cell>
        </row>
        <row r="71">
          <cell r="B71" t="str">
            <v>V041</v>
          </cell>
          <cell r="C71" t="str">
            <v>옥수수(캔)</v>
          </cell>
          <cell r="D71" t="str">
            <v>Corn(Canned)</v>
          </cell>
          <cell r="E71"/>
          <cell r="F71" t="str">
            <v>420g</v>
          </cell>
          <cell r="G71">
            <v>420</v>
          </cell>
          <cell r="H71">
            <v>19900</v>
          </cell>
          <cell r="I71">
            <v>1.2178702570379436</v>
          </cell>
          <cell r="J71">
            <v>0.99</v>
          </cell>
          <cell r="K71" t="str">
            <v>g</v>
          </cell>
          <cell r="L71">
            <v>47.85954785954786</v>
          </cell>
          <cell r="M71"/>
          <cell r="N71">
            <v>47.85954785954786</v>
          </cell>
        </row>
        <row r="72">
          <cell r="B72" t="str">
            <v>V052</v>
          </cell>
          <cell r="C72" t="str">
            <v>레몬</v>
          </cell>
          <cell r="D72" t="str">
            <v>Lemon</v>
          </cell>
          <cell r="E72"/>
          <cell r="F72" t="str">
            <v>1kg</v>
          </cell>
          <cell r="G72">
            <v>1000</v>
          </cell>
          <cell r="H72">
            <v>35000</v>
          </cell>
          <cell r="I72">
            <v>2.1419828641370868</v>
          </cell>
          <cell r="J72">
            <v>0.98</v>
          </cell>
          <cell r="K72" t="str">
            <v>ea</v>
          </cell>
          <cell r="L72">
            <v>35.714285714285715</v>
          </cell>
          <cell r="M72"/>
          <cell r="N72">
            <v>35.714285714285715</v>
          </cell>
        </row>
        <row r="73">
          <cell r="B73" t="str">
            <v>I001</v>
          </cell>
          <cell r="C73" t="str">
            <v>정수</v>
          </cell>
          <cell r="D73" t="str">
            <v xml:space="preserve">Purified Water </v>
          </cell>
          <cell r="E73"/>
          <cell r="F73"/>
          <cell r="G73"/>
          <cell r="H73"/>
          <cell r="I73">
            <v>0</v>
          </cell>
          <cell r="J73"/>
          <cell r="K73" t="str">
            <v>g</v>
          </cell>
          <cell r="L73" t="str">
            <v>-</v>
          </cell>
          <cell r="M73"/>
          <cell r="N73" t="str">
            <v>-</v>
          </cell>
        </row>
        <row r="74">
          <cell r="B74" t="str">
            <v>I002</v>
          </cell>
          <cell r="C74" t="str">
            <v>소금</v>
          </cell>
          <cell r="D74" t="str">
            <v>Salt</v>
          </cell>
          <cell r="E74"/>
          <cell r="F74" t="str">
            <v>1kg</v>
          </cell>
          <cell r="G74">
            <v>1000</v>
          </cell>
          <cell r="H74">
            <v>16500</v>
          </cell>
          <cell r="I74">
            <v>1.0097919216646267</v>
          </cell>
          <cell r="J74">
            <v>0.99</v>
          </cell>
          <cell r="K74" t="str">
            <v>g</v>
          </cell>
          <cell r="L74">
            <v>16.666666666666668</v>
          </cell>
          <cell r="M74"/>
          <cell r="N74">
            <v>16.666666666666668</v>
          </cell>
        </row>
        <row r="75">
          <cell r="B75" t="str">
            <v>I003</v>
          </cell>
          <cell r="C75" t="str">
            <v>깨</v>
          </cell>
          <cell r="D75" t="str">
            <v>Sesame Seeds</v>
          </cell>
          <cell r="E75"/>
          <cell r="F75" t="str">
            <v>1kg</v>
          </cell>
          <cell r="G75">
            <v>1000</v>
          </cell>
          <cell r="H75">
            <v>76590</v>
          </cell>
          <cell r="I75">
            <v>4.687270501835985</v>
          </cell>
          <cell r="J75">
            <v>0.99</v>
          </cell>
          <cell r="K75" t="str">
            <v>g</v>
          </cell>
          <cell r="L75">
            <v>77.363636363636374</v>
          </cell>
          <cell r="M75"/>
          <cell r="N75">
            <v>77.363636363636374</v>
          </cell>
        </row>
        <row r="76">
          <cell r="B76" t="str">
            <v>I004</v>
          </cell>
          <cell r="C76" t="str">
            <v>다진마늘</v>
          </cell>
          <cell r="D76" t="str">
            <v>minced Garlic</v>
          </cell>
          <cell r="E76"/>
          <cell r="F76" t="str">
            <v>1kg</v>
          </cell>
          <cell r="G76">
            <v>1000</v>
          </cell>
          <cell r="H76">
            <v>45000</v>
          </cell>
          <cell r="I76">
            <v>2.7539779681762546</v>
          </cell>
          <cell r="J76">
            <v>0.99</v>
          </cell>
          <cell r="K76" t="str">
            <v>g</v>
          </cell>
          <cell r="L76">
            <v>45.454545454545453</v>
          </cell>
          <cell r="M76"/>
          <cell r="N76">
            <v>45.454545454545453</v>
          </cell>
        </row>
        <row r="77">
          <cell r="B77" t="str">
            <v>I005</v>
          </cell>
          <cell r="C77" t="str">
            <v>땅콩분태</v>
          </cell>
          <cell r="D77" t="str">
            <v>Crushed Peanut</v>
          </cell>
          <cell r="E77"/>
          <cell r="F77" t="str">
            <v>1kg</v>
          </cell>
          <cell r="G77">
            <v>1000</v>
          </cell>
          <cell r="H77">
            <v>61900</v>
          </cell>
          <cell r="I77">
            <v>3.7882496940024479</v>
          </cell>
          <cell r="J77">
            <v>0.99</v>
          </cell>
          <cell r="K77" t="str">
            <v>g</v>
          </cell>
          <cell r="L77">
            <v>62.525252525252526</v>
          </cell>
          <cell r="M77"/>
          <cell r="N77">
            <v>62.525252525252526</v>
          </cell>
        </row>
        <row r="78">
          <cell r="B78" t="str">
            <v>I013</v>
          </cell>
          <cell r="C78" t="str">
            <v>미원</v>
          </cell>
          <cell r="D78" t="str">
            <v>MSG(Ajinomoto)</v>
          </cell>
          <cell r="E78"/>
          <cell r="F78" t="str">
            <v>1kg</v>
          </cell>
          <cell r="G78">
            <v>1000</v>
          </cell>
          <cell r="H78">
            <v>52400</v>
          </cell>
          <cell r="I78">
            <v>3.2068543451652385</v>
          </cell>
          <cell r="J78">
            <v>0.99</v>
          </cell>
          <cell r="K78" t="str">
            <v>g</v>
          </cell>
          <cell r="L78">
            <v>52.929292929292927</v>
          </cell>
          <cell r="M78"/>
          <cell r="N78">
            <v>52.929292929292927</v>
          </cell>
        </row>
        <row r="79">
          <cell r="B79" t="str">
            <v>I015</v>
          </cell>
          <cell r="C79" t="str">
            <v>계란</v>
          </cell>
          <cell r="D79" t="str">
            <v>Egg</v>
          </cell>
          <cell r="E79"/>
          <cell r="F79" t="str">
            <v>1kg</v>
          </cell>
          <cell r="G79">
            <v>1000</v>
          </cell>
          <cell r="H79">
            <v>32000</v>
          </cell>
          <cell r="I79">
            <v>1.9583843329253365</v>
          </cell>
          <cell r="J79">
            <v>0.99</v>
          </cell>
          <cell r="K79" t="str">
            <v>g</v>
          </cell>
          <cell r="L79">
            <v>32.323232323232325</v>
          </cell>
          <cell r="M79"/>
          <cell r="N79">
            <v>32.323232323232325</v>
          </cell>
        </row>
        <row r="80">
          <cell r="B80" t="str">
            <v>I021</v>
          </cell>
          <cell r="C80" t="str">
            <v>후추</v>
          </cell>
          <cell r="D80" t="str">
            <v>Black Pepper</v>
          </cell>
          <cell r="E80"/>
          <cell r="F80" t="str">
            <v>500g</v>
          </cell>
          <cell r="G80">
            <v>500</v>
          </cell>
          <cell r="H80">
            <v>91000</v>
          </cell>
          <cell r="I80">
            <v>5.5691554467564259</v>
          </cell>
          <cell r="J80">
            <v>0.99</v>
          </cell>
          <cell r="K80" t="str">
            <v>g</v>
          </cell>
          <cell r="L80">
            <v>183.83838383838383</v>
          </cell>
          <cell r="M80"/>
          <cell r="N80">
            <v>183.83838383838383</v>
          </cell>
        </row>
        <row r="81">
          <cell r="B81" t="str">
            <v>I027</v>
          </cell>
          <cell r="C81" t="str">
            <v>백설탕</v>
          </cell>
          <cell r="D81" t="str">
            <v>White Sugar</v>
          </cell>
          <cell r="E81"/>
          <cell r="F81" t="str">
            <v>1kg</v>
          </cell>
          <cell r="G81">
            <v>1000</v>
          </cell>
          <cell r="H81">
            <v>21000</v>
          </cell>
          <cell r="I81">
            <v>1.2851897184822521</v>
          </cell>
          <cell r="J81">
            <v>0.99</v>
          </cell>
          <cell r="K81" t="str">
            <v>g</v>
          </cell>
          <cell r="L81">
            <v>21.212121212121211</v>
          </cell>
          <cell r="M81"/>
          <cell r="N81">
            <v>21.212121212121211</v>
          </cell>
        </row>
        <row r="82">
          <cell r="B82" t="str">
            <v>I031</v>
          </cell>
          <cell r="C82" t="str">
            <v>떡볶이떡(쌀떡)</v>
          </cell>
          <cell r="D82" t="str">
            <v xml:space="preserve">Rice Cake </v>
          </cell>
          <cell r="E82"/>
          <cell r="F82" t="str">
            <v>1kg</v>
          </cell>
          <cell r="G82">
            <v>1000</v>
          </cell>
          <cell r="H82">
            <v>53465</v>
          </cell>
          <cell r="I82">
            <v>3.2720318237454102</v>
          </cell>
          <cell r="J82">
            <v>0.99</v>
          </cell>
          <cell r="K82" t="str">
            <v>g</v>
          </cell>
          <cell r="L82">
            <v>54.005050505050512</v>
          </cell>
          <cell r="M82"/>
          <cell r="N82">
            <v>54.005050505050512</v>
          </cell>
        </row>
        <row r="83">
          <cell r="B83" t="str">
            <v>I034</v>
          </cell>
          <cell r="C83" t="str">
            <v>고추가루(고운)</v>
          </cell>
          <cell r="D83" t="str">
            <v>Red Pepper Powder (Fine) - JAVA 4 Bubuk cabe padas</v>
          </cell>
          <cell r="E83"/>
          <cell r="F83" t="str">
            <v>1kg</v>
          </cell>
          <cell r="G83">
            <v>1000</v>
          </cell>
          <cell r="H83">
            <v>88800</v>
          </cell>
          <cell r="I83">
            <v>5.434516523867809</v>
          </cell>
          <cell r="J83">
            <v>0.99</v>
          </cell>
          <cell r="K83" t="str">
            <v>g</v>
          </cell>
          <cell r="L83">
            <v>89.696969696969688</v>
          </cell>
          <cell r="M83"/>
          <cell r="N83">
            <v>89.696969696969688</v>
          </cell>
        </row>
        <row r="84">
          <cell r="B84" t="str">
            <v>I035</v>
          </cell>
          <cell r="C84" t="str">
            <v>미림</v>
          </cell>
          <cell r="D84" t="str">
            <v>Mirom (Cooking Wine)</v>
          </cell>
          <cell r="E84"/>
          <cell r="F84" t="str">
            <v>500ml</v>
          </cell>
          <cell r="G84">
            <v>500</v>
          </cell>
          <cell r="H84">
            <v>38000</v>
          </cell>
          <cell r="I84">
            <v>2.3255813953488373</v>
          </cell>
          <cell r="J84">
            <v>0.99</v>
          </cell>
          <cell r="K84" t="str">
            <v>g</v>
          </cell>
          <cell r="L84">
            <v>76.767676767676775</v>
          </cell>
          <cell r="M84"/>
          <cell r="N84">
            <v>76.767676767676775</v>
          </cell>
        </row>
        <row r="85">
          <cell r="B85" t="str">
            <v>I039</v>
          </cell>
          <cell r="C85" t="str">
            <v>물엿</v>
          </cell>
          <cell r="D85" t="str">
            <v>Corn Syrup</v>
          </cell>
          <cell r="E85"/>
          <cell r="F85" t="str">
            <v>3kg</v>
          </cell>
          <cell r="G85">
            <v>3000</v>
          </cell>
          <cell r="H85">
            <v>182000</v>
          </cell>
          <cell r="I85">
            <v>11.138310893512852</v>
          </cell>
          <cell r="J85">
            <v>0.99</v>
          </cell>
          <cell r="K85" t="str">
            <v>g</v>
          </cell>
          <cell r="L85">
            <v>61.27946127946128</v>
          </cell>
          <cell r="M85"/>
          <cell r="N85">
            <v>61.27946127946128</v>
          </cell>
        </row>
        <row r="86">
          <cell r="B86" t="str">
            <v>I040</v>
          </cell>
          <cell r="C86" t="str">
            <v>식초</v>
          </cell>
          <cell r="D86" t="str">
            <v>Vinegar</v>
          </cell>
          <cell r="E86"/>
          <cell r="F86" t="str">
            <v>473 ml</v>
          </cell>
          <cell r="G86">
            <v>473</v>
          </cell>
          <cell r="H86">
            <v>35700</v>
          </cell>
          <cell r="I86">
            <v>2.1848225214198287</v>
          </cell>
          <cell r="J86">
            <v>0.99</v>
          </cell>
          <cell r="K86" t="str">
            <v>g</v>
          </cell>
          <cell r="L86">
            <v>76.238067781408162</v>
          </cell>
          <cell r="M86"/>
          <cell r="N86">
            <v>76.238067781408162</v>
          </cell>
        </row>
        <row r="87">
          <cell r="B87" t="str">
            <v>I041</v>
          </cell>
          <cell r="C87" t="str">
            <v>레몬농축액</v>
          </cell>
          <cell r="D87" t="str">
            <v>Lemon Syrup</v>
          </cell>
          <cell r="E87"/>
          <cell r="F87" t="str">
            <v>1000ml</v>
          </cell>
          <cell r="G87">
            <v>1000</v>
          </cell>
          <cell r="H87">
            <v>80000</v>
          </cell>
          <cell r="I87">
            <v>4.8959608323133414</v>
          </cell>
          <cell r="J87">
            <v>0.99</v>
          </cell>
          <cell r="K87" t="str">
            <v>g</v>
          </cell>
          <cell r="L87">
            <v>80.808080808080803</v>
          </cell>
          <cell r="M87"/>
          <cell r="N87">
            <v>80.808080808080803</v>
          </cell>
        </row>
        <row r="88">
          <cell r="B88" t="str">
            <v>I049</v>
          </cell>
          <cell r="C88" t="str">
            <v>라면 사리</v>
          </cell>
          <cell r="D88" t="str">
            <v>Ramyoen(Noodle)</v>
          </cell>
          <cell r="E88"/>
          <cell r="F88" t="str">
            <v>200g</v>
          </cell>
          <cell r="G88">
            <v>200</v>
          </cell>
          <cell r="H88">
            <v>11000</v>
          </cell>
          <cell r="I88">
            <v>0.67319461444308448</v>
          </cell>
          <cell r="J88">
            <v>0.99</v>
          </cell>
          <cell r="K88" t="str">
            <v>ea</v>
          </cell>
          <cell r="L88">
            <v>55.555555555555557</v>
          </cell>
          <cell r="M88"/>
          <cell r="N88">
            <v>55.555555555555557</v>
          </cell>
        </row>
        <row r="89">
          <cell r="B89" t="str">
            <v>I054</v>
          </cell>
          <cell r="C89" t="str">
            <v>당면</v>
          </cell>
          <cell r="D89" t="str">
            <v>Glass Noodle</v>
          </cell>
          <cell r="E89"/>
          <cell r="F89" t="str">
            <v>1kg</v>
          </cell>
          <cell r="G89">
            <v>1000</v>
          </cell>
          <cell r="H89">
            <v>46850.7</v>
          </cell>
          <cell r="I89">
            <v>2.8672399020807831</v>
          </cell>
          <cell r="J89">
            <v>2.5</v>
          </cell>
          <cell r="K89" t="str">
            <v>g</v>
          </cell>
          <cell r="L89">
            <v>18.740279999999998</v>
          </cell>
          <cell r="M89"/>
          <cell r="N89">
            <v>18.740279999999998</v>
          </cell>
        </row>
        <row r="90">
          <cell r="B90" t="str">
            <v>I064</v>
          </cell>
          <cell r="C90" t="str">
            <v>마늘칩</v>
          </cell>
          <cell r="D90" t="str">
            <v>Garlic Chip</v>
          </cell>
          <cell r="E90"/>
          <cell r="F90" t="str">
            <v>1kg</v>
          </cell>
          <cell r="G90">
            <v>1000</v>
          </cell>
          <cell r="H90">
            <v>89900</v>
          </cell>
          <cell r="I90">
            <v>5.5018359853121179</v>
          </cell>
          <cell r="J90">
            <v>0.99</v>
          </cell>
          <cell r="K90" t="str">
            <v>g</v>
          </cell>
          <cell r="L90">
            <v>90.808080808080817</v>
          </cell>
          <cell r="M90"/>
          <cell r="N90">
            <v>90.808080808080817</v>
          </cell>
        </row>
        <row r="91">
          <cell r="B91" t="str">
            <v>I065</v>
          </cell>
          <cell r="C91" t="str">
            <v>바닐라 아이스크림</v>
          </cell>
          <cell r="D91" t="str">
            <v>Vanila Ice Cream</v>
          </cell>
          <cell r="E91"/>
          <cell r="F91" t="str">
            <v>1kg</v>
          </cell>
          <cell r="G91">
            <v>1000</v>
          </cell>
          <cell r="H91">
            <v>138750</v>
          </cell>
          <cell r="I91">
            <v>8.4914320685434515</v>
          </cell>
          <cell r="J91">
            <v>0.99</v>
          </cell>
          <cell r="K91" t="str">
            <v>g</v>
          </cell>
          <cell r="L91">
            <v>140.15151515151516</v>
          </cell>
          <cell r="M91"/>
          <cell r="N91">
            <v>140.15151515151516</v>
          </cell>
        </row>
        <row r="92">
          <cell r="B92" t="str">
            <v>I066</v>
          </cell>
          <cell r="C92" t="str">
            <v>초코 아이스크림</v>
          </cell>
          <cell r="D92" t="str">
            <v>Chocolate Ice Cream</v>
          </cell>
          <cell r="E92"/>
          <cell r="F92" t="str">
            <v xml:space="preserve">1kg </v>
          </cell>
          <cell r="G92">
            <v>1000</v>
          </cell>
          <cell r="H92">
            <v>138750</v>
          </cell>
          <cell r="I92">
            <v>8.4914320685434515</v>
          </cell>
          <cell r="J92">
            <v>0.99</v>
          </cell>
          <cell r="K92" t="str">
            <v>g</v>
          </cell>
          <cell r="L92">
            <v>140.15151515151516</v>
          </cell>
          <cell r="M92"/>
          <cell r="N92">
            <v>140.15151515151516</v>
          </cell>
        </row>
        <row r="93">
          <cell r="B93" t="str">
            <v>I067</v>
          </cell>
          <cell r="C93" t="str">
            <v>딸기 시럽</v>
          </cell>
          <cell r="D93" t="str">
            <v>Strawberry Syrup</v>
          </cell>
          <cell r="E93"/>
          <cell r="F93" t="str">
            <v>750ml</v>
          </cell>
          <cell r="G93">
            <v>750</v>
          </cell>
          <cell r="H93">
            <v>7700</v>
          </cell>
          <cell r="I93">
            <v>0.47123623011015914</v>
          </cell>
          <cell r="J93">
            <v>0.99</v>
          </cell>
          <cell r="K93" t="str">
            <v>g</v>
          </cell>
          <cell r="L93">
            <v>10.370370370370372</v>
          </cell>
          <cell r="M93"/>
          <cell r="N93">
            <v>10.370370370370372</v>
          </cell>
        </row>
        <row r="94">
          <cell r="B94" t="str">
            <v>I068</v>
          </cell>
          <cell r="C94" t="str">
            <v>오레오 크럼블</v>
          </cell>
          <cell r="D94" t="str">
            <v>Oreo Crumble</v>
          </cell>
          <cell r="E94"/>
          <cell r="F94" t="str">
            <v>1kg</v>
          </cell>
          <cell r="G94">
            <v>1000</v>
          </cell>
          <cell r="H94">
            <v>154700</v>
          </cell>
          <cell r="I94">
            <v>9.4675642594859237</v>
          </cell>
          <cell r="J94">
            <v>0.99</v>
          </cell>
          <cell r="K94" t="str">
            <v>g</v>
          </cell>
          <cell r="L94">
            <v>156.26262626262624</v>
          </cell>
          <cell r="M94"/>
          <cell r="N94">
            <v>156.26262626262624</v>
          </cell>
        </row>
        <row r="95">
          <cell r="B95" t="str">
            <v>I069</v>
          </cell>
          <cell r="C95" t="str">
            <v>콘 플레이크</v>
          </cell>
          <cell r="D95" t="str">
            <v>Corn Flake</v>
          </cell>
          <cell r="E95"/>
          <cell r="F95" t="str">
            <v>1kg</v>
          </cell>
          <cell r="G95">
            <v>1000</v>
          </cell>
          <cell r="H95">
            <v>110000</v>
          </cell>
          <cell r="I95">
            <v>6.7319461444308448</v>
          </cell>
          <cell r="J95">
            <v>0.99</v>
          </cell>
          <cell r="K95" t="str">
            <v>g</v>
          </cell>
          <cell r="L95">
            <v>111.11111111111111</v>
          </cell>
          <cell r="M95"/>
          <cell r="N95">
            <v>111.11111111111111</v>
          </cell>
        </row>
        <row r="96">
          <cell r="B96" t="str">
            <v>I070</v>
          </cell>
          <cell r="C96" t="str">
            <v>땅콩 버터</v>
          </cell>
          <cell r="D96" t="str">
            <v>Peanut Butter</v>
          </cell>
          <cell r="E96"/>
          <cell r="F96" t="str">
            <v>800g</v>
          </cell>
          <cell r="G96">
            <v>800</v>
          </cell>
          <cell r="H96">
            <v>58900</v>
          </cell>
          <cell r="I96">
            <v>3.6046511627906979</v>
          </cell>
          <cell r="J96">
            <v>0.99</v>
          </cell>
          <cell r="K96" t="str">
            <v>g</v>
          </cell>
          <cell r="L96">
            <v>74.368686868686865</v>
          </cell>
          <cell r="M96"/>
          <cell r="N96">
            <v>74.368686868686865</v>
          </cell>
        </row>
        <row r="97">
          <cell r="B97" t="str">
            <v>I071</v>
          </cell>
          <cell r="C97" t="str">
            <v>연유</v>
          </cell>
          <cell r="D97" t="str">
            <v>Condensed Milk</v>
          </cell>
          <cell r="E97"/>
          <cell r="F97" t="str">
            <v>545g</v>
          </cell>
          <cell r="G97">
            <v>545</v>
          </cell>
          <cell r="H97">
            <v>21500</v>
          </cell>
          <cell r="I97">
            <v>1.3157894736842106</v>
          </cell>
          <cell r="J97">
            <v>0.99</v>
          </cell>
          <cell r="K97" t="str">
            <v>g</v>
          </cell>
          <cell r="L97">
            <v>39.848021499397646</v>
          </cell>
          <cell r="M97"/>
          <cell r="N97">
            <v>39.848021499397646</v>
          </cell>
        </row>
        <row r="98">
          <cell r="B98" t="str">
            <v>I072</v>
          </cell>
          <cell r="C98" t="str">
            <v>김자반</v>
          </cell>
          <cell r="D98" t="str">
            <v>GIMBORI (Crispy Seaweed)</v>
          </cell>
          <cell r="E98"/>
          <cell r="F98" t="str">
            <v>60g</v>
          </cell>
          <cell r="G98">
            <v>60</v>
          </cell>
          <cell r="H98">
            <v>23220</v>
          </cell>
          <cell r="I98">
            <v>1.4210526315789473</v>
          </cell>
          <cell r="J98">
            <v>0.99</v>
          </cell>
          <cell r="K98" t="str">
            <v>g</v>
          </cell>
          <cell r="L98">
            <v>390.90909090909093</v>
          </cell>
          <cell r="M98"/>
          <cell r="N98">
            <v>390.90909090909093</v>
          </cell>
        </row>
        <row r="99">
          <cell r="B99" t="str">
            <v>I073</v>
          </cell>
          <cell r="C99"/>
          <cell r="D99" t="str">
            <v>GRATED PARMESAN CHEESE</v>
          </cell>
          <cell r="E99"/>
          <cell r="F99" t="str">
            <v>1kg</v>
          </cell>
          <cell r="G99">
            <v>1000</v>
          </cell>
          <cell r="H99">
            <v>260000</v>
          </cell>
          <cell r="I99">
            <v>15.911872705018359</v>
          </cell>
          <cell r="J99">
            <v>0.99</v>
          </cell>
          <cell r="K99" t="str">
            <v>g</v>
          </cell>
          <cell r="L99">
            <v>262.62626262626264</v>
          </cell>
          <cell r="M99"/>
          <cell r="N99">
            <v>262.62626262626264</v>
          </cell>
        </row>
        <row r="100">
          <cell r="B100" t="str">
            <v>I074</v>
          </cell>
          <cell r="C100"/>
          <cell r="D100" t="str">
            <v>ABC CHILI SASET</v>
          </cell>
          <cell r="E100"/>
          <cell r="F100" t="str">
            <v>22pcs</v>
          </cell>
          <cell r="G100">
            <v>22</v>
          </cell>
          <cell r="H100">
            <v>5200</v>
          </cell>
          <cell r="I100"/>
          <cell r="J100">
            <v>1</v>
          </cell>
          <cell r="K100" t="str">
            <v>pc</v>
          </cell>
          <cell r="L100">
            <v>236.36363636363637</v>
          </cell>
          <cell r="M100"/>
          <cell r="N100">
            <v>236.36363636363637</v>
          </cell>
        </row>
        <row r="101">
          <cell r="B101" t="str">
            <v>I075</v>
          </cell>
          <cell r="C101"/>
          <cell r="D101" t="str">
            <v>ABC SAMBAL EXTRA PEDAS SACHET</v>
          </cell>
          <cell r="E101"/>
          <cell r="F101" t="str">
            <v>22pcs</v>
          </cell>
          <cell r="G101">
            <v>22</v>
          </cell>
          <cell r="H101">
            <v>5200</v>
          </cell>
          <cell r="I101"/>
          <cell r="J101">
            <v>1</v>
          </cell>
          <cell r="K101" t="str">
            <v>pc</v>
          </cell>
          <cell r="L101">
            <v>236.36363636363637</v>
          </cell>
          <cell r="M101"/>
          <cell r="N101">
            <v>236.36363636363637</v>
          </cell>
        </row>
        <row r="102">
          <cell r="B102" t="str">
            <v>I076</v>
          </cell>
          <cell r="C102"/>
          <cell r="D102" t="str">
            <v>ABC TOMATO SASET</v>
          </cell>
          <cell r="E102"/>
          <cell r="F102" t="str">
            <v>22pcs</v>
          </cell>
          <cell r="G102">
            <v>22</v>
          </cell>
          <cell r="H102">
            <v>4712</v>
          </cell>
          <cell r="I102"/>
          <cell r="J102">
            <v>1</v>
          </cell>
          <cell r="K102" t="str">
            <v>pc</v>
          </cell>
          <cell r="L102">
            <v>214.18181818181819</v>
          </cell>
          <cell r="M102"/>
          <cell r="N102">
            <v>214.18181818181819</v>
          </cell>
        </row>
        <row r="103">
          <cell r="B103" t="str">
            <v>I077</v>
          </cell>
          <cell r="C103"/>
          <cell r="D103" t="str">
            <v xml:space="preserve">CHILLED RICH DOUBLE CREAM </v>
          </cell>
          <cell r="E103"/>
          <cell r="F103" t="str">
            <v>1L</v>
          </cell>
          <cell r="G103">
            <v>1000</v>
          </cell>
          <cell r="H103">
            <v>68820</v>
          </cell>
          <cell r="I103"/>
          <cell r="J103">
            <v>1</v>
          </cell>
          <cell r="K103" t="str">
            <v>g</v>
          </cell>
          <cell r="L103">
            <v>68.819999999999993</v>
          </cell>
          <cell r="M103"/>
          <cell r="N103">
            <v>68.819999999999993</v>
          </cell>
        </row>
        <row r="104">
          <cell r="B104" t="str">
            <v>I078</v>
          </cell>
          <cell r="C104"/>
          <cell r="D104" t="str">
            <v>Shallot Chip</v>
          </cell>
          <cell r="E104"/>
          <cell r="F104" t="str">
            <v>1kg</v>
          </cell>
          <cell r="G104">
            <v>1000</v>
          </cell>
          <cell r="H104">
            <v>135000</v>
          </cell>
          <cell r="I104"/>
          <cell r="J104">
            <v>1</v>
          </cell>
          <cell r="K104" t="str">
            <v>g</v>
          </cell>
          <cell r="L104">
            <v>135</v>
          </cell>
          <cell r="M104"/>
          <cell r="N104">
            <v>135</v>
          </cell>
        </row>
        <row r="105">
          <cell r="B105" t="str">
            <v>I079</v>
          </cell>
          <cell r="C105"/>
          <cell r="D105" t="str">
            <v>COCONUT FLAKE</v>
          </cell>
          <cell r="E105"/>
          <cell r="F105" t="str">
            <v>250g</v>
          </cell>
          <cell r="G105">
            <v>250</v>
          </cell>
          <cell r="H105">
            <v>39000</v>
          </cell>
          <cell r="I105"/>
          <cell r="J105">
            <v>1</v>
          </cell>
          <cell r="K105" t="str">
            <v>g</v>
          </cell>
          <cell r="L105">
            <v>156</v>
          </cell>
          <cell r="M105"/>
          <cell r="N105">
            <v>156</v>
          </cell>
        </row>
        <row r="106">
          <cell r="B106" t="str">
            <v>I080</v>
          </cell>
          <cell r="C106"/>
          <cell r="D106" t="str">
            <v>FRES MILK PLAIN CIMORY 950ML</v>
          </cell>
          <cell r="E106"/>
          <cell r="F106" t="str">
            <v>950ml</v>
          </cell>
          <cell r="G106">
            <v>950</v>
          </cell>
          <cell r="H106">
            <v>17500</v>
          </cell>
          <cell r="I106"/>
          <cell r="J106">
            <v>1</v>
          </cell>
          <cell r="K106" t="str">
            <v>ml</v>
          </cell>
          <cell r="L106">
            <v>18.421052631578949</v>
          </cell>
          <cell r="M106"/>
          <cell r="N106">
            <v>18.421052631578949</v>
          </cell>
        </row>
        <row r="107">
          <cell r="B107" t="str">
            <v>I081</v>
          </cell>
          <cell r="C107"/>
          <cell r="D107" t="str">
            <v>ARLA TOPPING PIZZA (Moza)</v>
          </cell>
          <cell r="E107"/>
          <cell r="F107" t="str">
            <v>1kg</v>
          </cell>
          <cell r="G107">
            <v>1000</v>
          </cell>
          <cell r="H107">
            <v>100000</v>
          </cell>
          <cell r="I107"/>
          <cell r="J107">
            <v>1</v>
          </cell>
          <cell r="K107" t="str">
            <v>g</v>
          </cell>
          <cell r="L107">
            <v>100</v>
          </cell>
          <cell r="M107"/>
          <cell r="N107">
            <v>100</v>
          </cell>
        </row>
        <row r="108">
          <cell r="B108" t="str">
            <v>I082</v>
          </cell>
          <cell r="C108"/>
          <cell r="D108" t="str">
            <v>EASYMIX WAFFE</v>
          </cell>
          <cell r="E108"/>
          <cell r="F108" t="str">
            <v>1kg</v>
          </cell>
          <cell r="G108">
            <v>1000</v>
          </cell>
          <cell r="H108">
            <v>42735</v>
          </cell>
          <cell r="I108"/>
          <cell r="J108">
            <v>1</v>
          </cell>
          <cell r="K108" t="str">
            <v>g</v>
          </cell>
          <cell r="L108">
            <v>42.734999999999999</v>
          </cell>
          <cell r="M108"/>
          <cell r="N108">
            <v>42.734999999999999</v>
          </cell>
        </row>
        <row r="109">
          <cell r="B109" t="str">
            <v>D001</v>
          </cell>
          <cell r="C109" t="str">
            <v>탄산음료 베이스</v>
          </cell>
          <cell r="D109" t="str">
            <v>Soft Drink Base</v>
          </cell>
          <cell r="E109"/>
          <cell r="F109" t="str">
            <v>10L</v>
          </cell>
          <cell r="G109">
            <v>10000</v>
          </cell>
          <cell r="H109">
            <v>700000</v>
          </cell>
          <cell r="I109">
            <v>42.83965728274174</v>
          </cell>
          <cell r="J109">
            <v>0.99</v>
          </cell>
          <cell r="K109" t="str">
            <v>g</v>
          </cell>
          <cell r="L109">
            <v>70.707070707070713</v>
          </cell>
          <cell r="M109"/>
          <cell r="N109">
            <v>70.707070707070713</v>
          </cell>
        </row>
        <row r="110">
          <cell r="B110" t="str">
            <v>D012</v>
          </cell>
          <cell r="C110" t="str">
            <v>C02</v>
          </cell>
          <cell r="D110" t="str">
            <v>C02</v>
          </cell>
          <cell r="E110"/>
          <cell r="F110" t="str">
            <v>8kg</v>
          </cell>
          <cell r="G110">
            <v>8000</v>
          </cell>
          <cell r="H110">
            <v>254850</v>
          </cell>
          <cell r="I110">
            <v>15.596695226438188</v>
          </cell>
          <cell r="J110">
            <v>0.99</v>
          </cell>
          <cell r="K110" t="str">
            <v>g</v>
          </cell>
          <cell r="L110">
            <v>32.178030303030305</v>
          </cell>
          <cell r="M110"/>
          <cell r="N110">
            <v>32.178030303030305</v>
          </cell>
        </row>
        <row r="111">
          <cell r="B111" t="str">
            <v>D002</v>
          </cell>
          <cell r="C111" t="str">
            <v>시럽(딸기,망고,리치,복숭아)</v>
          </cell>
          <cell r="D111" t="str">
            <v>Syrup (Strawberry,Mango,Lychee,Peach)</v>
          </cell>
          <cell r="E111"/>
          <cell r="F111" t="str">
            <v>750ml</v>
          </cell>
          <cell r="G111">
            <v>750</v>
          </cell>
          <cell r="H111">
            <v>77700</v>
          </cell>
          <cell r="I111">
            <v>4.7552019583843332</v>
          </cell>
          <cell r="J111">
            <v>0.99</v>
          </cell>
          <cell r="K111" t="str">
            <v>g</v>
          </cell>
          <cell r="L111">
            <v>104.64646464646464</v>
          </cell>
          <cell r="M111"/>
          <cell r="N111">
            <v>104.64646464646464</v>
          </cell>
        </row>
        <row r="112">
          <cell r="B112" t="str">
            <v>D003</v>
          </cell>
          <cell r="C112" t="str">
            <v>블랙 티 (물 포함)</v>
          </cell>
          <cell r="D112" t="str">
            <v xml:space="preserve">Black Tea (w/water) </v>
          </cell>
          <cell r="E112"/>
          <cell r="F112" t="str">
            <v>10L</v>
          </cell>
          <cell r="G112">
            <v>10000</v>
          </cell>
          <cell r="H112">
            <v>16650</v>
          </cell>
          <cell r="I112">
            <v>1.0189718482252141</v>
          </cell>
          <cell r="J112">
            <v>0.99</v>
          </cell>
          <cell r="K112" t="str">
            <v>g</v>
          </cell>
          <cell r="L112">
            <v>1.6818181818181819</v>
          </cell>
          <cell r="M112"/>
          <cell r="N112">
            <v>1.6818181818181819</v>
          </cell>
        </row>
        <row r="113">
          <cell r="B113" t="str">
            <v>D006</v>
          </cell>
          <cell r="C113" t="str">
            <v>초코시럽</v>
          </cell>
          <cell r="D113" t="str">
            <v>Chocolate syrup</v>
          </cell>
          <cell r="E113"/>
          <cell r="F113" t="str">
            <v>700ml</v>
          </cell>
          <cell r="G113">
            <v>700</v>
          </cell>
          <cell r="H113">
            <v>122100</v>
          </cell>
          <cell r="I113">
            <v>7.4724602203182373</v>
          </cell>
          <cell r="J113">
            <v>0.99</v>
          </cell>
          <cell r="K113" t="str">
            <v>g</v>
          </cell>
          <cell r="L113">
            <v>176.19047619047618</v>
          </cell>
          <cell r="M113"/>
          <cell r="N113">
            <v>176.19047619047618</v>
          </cell>
        </row>
        <row r="114">
          <cell r="B114" t="str">
            <v>D007</v>
          </cell>
          <cell r="C114" t="str">
            <v>딸기 시럽</v>
          </cell>
          <cell r="D114" t="str">
            <v>Strawberry Syrup</v>
          </cell>
          <cell r="E114"/>
          <cell r="F114" t="str">
            <v>750ml</v>
          </cell>
          <cell r="G114">
            <v>750</v>
          </cell>
          <cell r="H114">
            <v>77700</v>
          </cell>
          <cell r="I114">
            <v>4.7552019583843332</v>
          </cell>
          <cell r="J114">
            <v>0.99</v>
          </cell>
          <cell r="K114" t="str">
            <v>g</v>
          </cell>
          <cell r="L114">
            <v>104.64646464646464</v>
          </cell>
          <cell r="M114"/>
          <cell r="N114">
            <v>104.64646464646464</v>
          </cell>
        </row>
        <row r="115">
          <cell r="B115" t="str">
            <v>D010</v>
          </cell>
          <cell r="C115" t="str">
            <v>아침햇살</v>
          </cell>
          <cell r="D115" t="str">
            <v>Korean Rice Drink</v>
          </cell>
          <cell r="E115"/>
          <cell r="F115" t="str">
            <v>1.5L</v>
          </cell>
          <cell r="G115">
            <v>1500</v>
          </cell>
          <cell r="H115">
            <v>70000</v>
          </cell>
          <cell r="I115">
            <v>4.2839657282741737</v>
          </cell>
          <cell r="J115">
            <v>0.99</v>
          </cell>
          <cell r="K115" t="str">
            <v>g</v>
          </cell>
          <cell r="L115">
            <v>47.138047138047135</v>
          </cell>
          <cell r="M115"/>
          <cell r="N115">
            <v>47.138047138047135</v>
          </cell>
        </row>
        <row r="116">
          <cell r="B116" t="str">
            <v>D011</v>
          </cell>
          <cell r="C116" t="str">
            <v>미숫가루</v>
          </cell>
          <cell r="D116" t="str">
            <v xml:space="preserve">Multi grain powder </v>
          </cell>
          <cell r="E116"/>
          <cell r="F116" t="str">
            <v>1kg</v>
          </cell>
          <cell r="G116">
            <v>1000</v>
          </cell>
          <cell r="H116">
            <v>286000</v>
          </cell>
          <cell r="I116">
            <v>17.503059975520195</v>
          </cell>
          <cell r="J116">
            <v>0.99</v>
          </cell>
          <cell r="K116" t="str">
            <v>g</v>
          </cell>
          <cell r="L116">
            <v>288.88888888888891</v>
          </cell>
          <cell r="M116"/>
          <cell r="N116">
            <v>288.88888888888891</v>
          </cell>
        </row>
        <row r="117">
          <cell r="B117" t="str">
            <v>D012</v>
          </cell>
          <cell r="C117"/>
          <cell r="D117" t="str">
            <v>BONALLIE BLACK TEA</v>
          </cell>
          <cell r="E117"/>
          <cell r="F117" t="str">
            <v>1g</v>
          </cell>
          <cell r="G117">
            <v>1</v>
          </cell>
          <cell r="H117">
            <v>277.5</v>
          </cell>
          <cell r="I117">
            <v>1.6982864137086905E-2</v>
          </cell>
          <cell r="J117">
            <v>2</v>
          </cell>
          <cell r="K117" t="str">
            <v>g</v>
          </cell>
          <cell r="L117">
            <v>138.75</v>
          </cell>
          <cell r="M117"/>
          <cell r="N117">
            <v>138.75</v>
          </cell>
        </row>
        <row r="118">
          <cell r="B118" t="str">
            <v>D013</v>
          </cell>
          <cell r="C118"/>
          <cell r="D118" t="str">
            <v>BONALLIE CHOCO</v>
          </cell>
          <cell r="E118"/>
          <cell r="F118" t="str">
            <v>1ML</v>
          </cell>
          <cell r="G118">
            <v>1</v>
          </cell>
          <cell r="H118">
            <v>162.80000000000001</v>
          </cell>
          <cell r="I118">
            <v>9.9632802937576499E-3</v>
          </cell>
          <cell r="J118">
            <v>0.99</v>
          </cell>
          <cell r="K118" t="str">
            <v>ml</v>
          </cell>
          <cell r="L118">
            <v>164.44444444444446</v>
          </cell>
          <cell r="M118"/>
          <cell r="N118">
            <v>164.44444444444446</v>
          </cell>
        </row>
        <row r="119">
          <cell r="B119" t="str">
            <v>D014</v>
          </cell>
          <cell r="C119"/>
          <cell r="D119" t="str">
            <v>BONALLIE GRAPE</v>
          </cell>
          <cell r="E119"/>
          <cell r="F119" t="str">
            <v>1ML</v>
          </cell>
          <cell r="G119">
            <v>1</v>
          </cell>
          <cell r="H119">
            <v>156.99</v>
          </cell>
          <cell r="I119"/>
          <cell r="J119">
            <v>0.99</v>
          </cell>
          <cell r="K119" t="str">
            <v>ml</v>
          </cell>
          <cell r="L119">
            <v>158.57575757575759</v>
          </cell>
          <cell r="M119"/>
          <cell r="N119">
            <v>158.57575757575759</v>
          </cell>
        </row>
        <row r="120">
          <cell r="B120" t="str">
            <v>D015</v>
          </cell>
          <cell r="C120"/>
          <cell r="D120" t="str">
            <v>BONALLIE LYCHEE</v>
          </cell>
          <cell r="E120"/>
          <cell r="F120" t="str">
            <v>1ML</v>
          </cell>
          <cell r="G120">
            <v>1</v>
          </cell>
          <cell r="H120">
            <v>103.6</v>
          </cell>
          <cell r="I120"/>
          <cell r="J120">
            <v>0.99</v>
          </cell>
          <cell r="K120" t="str">
            <v>ml</v>
          </cell>
          <cell r="L120">
            <v>104.64646464646464</v>
          </cell>
          <cell r="M120"/>
          <cell r="N120">
            <v>104.64646464646464</v>
          </cell>
        </row>
        <row r="121">
          <cell r="B121" t="str">
            <v>D016</v>
          </cell>
          <cell r="C121"/>
          <cell r="D121" t="str">
            <v>BONALLIE MANGO</v>
          </cell>
          <cell r="E121"/>
          <cell r="F121" t="str">
            <v>1ML</v>
          </cell>
          <cell r="G121">
            <v>1</v>
          </cell>
          <cell r="H121">
            <v>103.6</v>
          </cell>
          <cell r="I121"/>
          <cell r="J121">
            <v>0.99</v>
          </cell>
          <cell r="K121" t="str">
            <v>ml</v>
          </cell>
          <cell r="L121">
            <v>104.64646464646464</v>
          </cell>
          <cell r="M121"/>
          <cell r="N121">
            <v>104.64646464646464</v>
          </cell>
        </row>
        <row r="122">
          <cell r="B122" t="str">
            <v>D017</v>
          </cell>
          <cell r="C122"/>
          <cell r="D122" t="str">
            <v>BONALLIE PEACH</v>
          </cell>
          <cell r="E122"/>
          <cell r="F122" t="str">
            <v>1ML</v>
          </cell>
          <cell r="G122">
            <v>1</v>
          </cell>
          <cell r="H122">
            <v>103.6</v>
          </cell>
          <cell r="I122"/>
          <cell r="J122">
            <v>0.99</v>
          </cell>
          <cell r="K122" t="str">
            <v>ml</v>
          </cell>
          <cell r="L122">
            <v>104.64646464646464</v>
          </cell>
          <cell r="M122"/>
          <cell r="N122">
            <v>104.64646464646464</v>
          </cell>
        </row>
        <row r="123">
          <cell r="B123" t="str">
            <v>D018</v>
          </cell>
          <cell r="C123"/>
          <cell r="D123" t="str">
            <v>BONALLIE ROSE</v>
          </cell>
          <cell r="E123"/>
          <cell r="F123" t="str">
            <v>1ML</v>
          </cell>
          <cell r="G123">
            <v>1</v>
          </cell>
          <cell r="H123">
            <v>156.99</v>
          </cell>
          <cell r="I123"/>
          <cell r="J123">
            <v>0.99</v>
          </cell>
          <cell r="K123" t="str">
            <v>ml</v>
          </cell>
          <cell r="L123">
            <v>158.57575757575759</v>
          </cell>
          <cell r="M123"/>
          <cell r="N123">
            <v>158.57575757575759</v>
          </cell>
        </row>
        <row r="124">
          <cell r="B124" t="str">
            <v>D019</v>
          </cell>
          <cell r="C124"/>
          <cell r="D124" t="str">
            <v>BONALLIE STRAWBERRY</v>
          </cell>
          <cell r="E124"/>
          <cell r="F124" t="str">
            <v>1ML</v>
          </cell>
          <cell r="G124">
            <v>1</v>
          </cell>
          <cell r="H124">
            <v>103.6</v>
          </cell>
          <cell r="I124"/>
          <cell r="J124">
            <v>0.99</v>
          </cell>
          <cell r="K124" t="str">
            <v>ml</v>
          </cell>
          <cell r="L124">
            <v>104.64646464646464</v>
          </cell>
          <cell r="M124"/>
          <cell r="N124">
            <v>104.64646464646464</v>
          </cell>
        </row>
        <row r="125">
          <cell r="B125" t="str">
            <v>D020</v>
          </cell>
          <cell r="C125"/>
          <cell r="D125" t="str">
            <v xml:space="preserve">SOFT DRINK CAN </v>
          </cell>
          <cell r="E125"/>
          <cell r="F125" t="str">
            <v>1can</v>
          </cell>
          <cell r="G125">
            <v>1</v>
          </cell>
          <cell r="H125">
            <v>4647.92</v>
          </cell>
          <cell r="I125"/>
          <cell r="J125">
            <v>1</v>
          </cell>
          <cell r="K125" t="str">
            <v>can</v>
          </cell>
          <cell r="L125">
            <v>4647.92</v>
          </cell>
          <cell r="M125"/>
          <cell r="N125">
            <v>4647.92</v>
          </cell>
        </row>
        <row r="126">
          <cell r="B126" t="str">
            <v>D021</v>
          </cell>
          <cell r="C126"/>
          <cell r="D126" t="str">
            <v>MINERAL WATER 600ML</v>
          </cell>
          <cell r="E126"/>
          <cell r="F126" t="str">
            <v>1ea</v>
          </cell>
          <cell r="G126">
            <v>1</v>
          </cell>
          <cell r="H126">
            <v>1958.33</v>
          </cell>
          <cell r="I126"/>
          <cell r="J126">
            <v>1</v>
          </cell>
          <cell r="K126" t="str">
            <v>ea</v>
          </cell>
          <cell r="L126">
            <v>1958.33</v>
          </cell>
          <cell r="M126"/>
          <cell r="N126">
            <v>1958.33</v>
          </cell>
        </row>
        <row r="127">
          <cell r="B127" t="str">
            <v>D022</v>
          </cell>
          <cell r="C127"/>
          <cell r="D127" t="str">
            <v>NESCAFE CLASIC</v>
          </cell>
          <cell r="E127"/>
          <cell r="F127" t="str">
            <v>120g</v>
          </cell>
          <cell r="G127">
            <v>120</v>
          </cell>
          <cell r="H127">
            <v>45000</v>
          </cell>
          <cell r="I127"/>
          <cell r="J127">
            <v>1</v>
          </cell>
          <cell r="K127" t="str">
            <v>g</v>
          </cell>
          <cell r="L127">
            <v>375</v>
          </cell>
          <cell r="M127"/>
          <cell r="N127">
            <v>375</v>
          </cell>
        </row>
        <row r="128">
          <cell r="B128" t="str">
            <v>D023</v>
          </cell>
          <cell r="C128"/>
          <cell r="D128" t="str">
            <v>NESCAFE LATTE</v>
          </cell>
          <cell r="E128"/>
          <cell r="F128" t="str">
            <v>500g</v>
          </cell>
          <cell r="G128">
            <v>500</v>
          </cell>
          <cell r="H128">
            <v>60300</v>
          </cell>
          <cell r="I128"/>
          <cell r="J128">
            <v>1</v>
          </cell>
          <cell r="K128" t="str">
            <v>g</v>
          </cell>
          <cell r="L128">
            <v>120.6</v>
          </cell>
          <cell r="M128"/>
          <cell r="N128">
            <v>120.6</v>
          </cell>
        </row>
        <row r="129">
          <cell r="B129" t="str">
            <v>D024</v>
          </cell>
          <cell r="C129"/>
          <cell r="D129" t="str">
            <v>YAKULT ORIGINAL</v>
          </cell>
          <cell r="E129"/>
          <cell r="F129" t="str">
            <v>65ml</v>
          </cell>
          <cell r="G129">
            <v>65</v>
          </cell>
          <cell r="H129">
            <v>1779.999</v>
          </cell>
          <cell r="I129"/>
          <cell r="J129">
            <v>1</v>
          </cell>
          <cell r="K129" t="str">
            <v>ml</v>
          </cell>
          <cell r="L129">
            <v>27.384599999999999</v>
          </cell>
          <cell r="M129"/>
          <cell r="N129">
            <v>27.384599999999999</v>
          </cell>
        </row>
        <row r="130">
          <cell r="B130"/>
          <cell r="C130"/>
          <cell r="D130"/>
          <cell r="E130"/>
          <cell r="F130"/>
          <cell r="G130"/>
          <cell r="H130"/>
          <cell r="I130"/>
          <cell r="J130"/>
          <cell r="K130"/>
          <cell r="L130"/>
          <cell r="M130"/>
          <cell r="N130"/>
        </row>
        <row r="131">
          <cell r="B131" t="str">
            <v>F001</v>
          </cell>
          <cell r="C131" t="str">
            <v>감자튀김</v>
          </cell>
          <cell r="D131" t="str">
            <v>French Fries</v>
          </cell>
          <cell r="E131"/>
          <cell r="F131" t="str">
            <v>1kg</v>
          </cell>
          <cell r="G131">
            <v>1000</v>
          </cell>
          <cell r="H131">
            <v>56610</v>
          </cell>
          <cell r="I131">
            <v>3.4645042839657281</v>
          </cell>
          <cell r="J131">
            <v>0.75</v>
          </cell>
          <cell r="K131" t="str">
            <v>g</v>
          </cell>
          <cell r="L131">
            <v>75.48</v>
          </cell>
          <cell r="M131"/>
          <cell r="N131">
            <v>75.48</v>
          </cell>
        </row>
        <row r="132">
          <cell r="B132" t="str">
            <v>F005</v>
          </cell>
          <cell r="C132" t="str">
            <v>치즈볼(BBQ)</v>
          </cell>
          <cell r="D132" t="str">
            <v>Cheese Ball(BBQ)</v>
          </cell>
          <cell r="E132"/>
          <cell r="F132" t="str">
            <v>360g</v>
          </cell>
          <cell r="G132">
            <v>360</v>
          </cell>
          <cell r="H132">
            <v>150017</v>
          </cell>
          <cell r="I132">
            <v>9.1809669522643826</v>
          </cell>
          <cell r="J132">
            <v>1</v>
          </cell>
          <cell r="K132" t="str">
            <v>g</v>
          </cell>
          <cell r="L132">
            <v>416.7138888888889</v>
          </cell>
          <cell r="M132"/>
          <cell r="N132">
            <v>416.7138888888889</v>
          </cell>
        </row>
        <row r="133">
          <cell r="B133" t="str">
            <v>F013</v>
          </cell>
          <cell r="C133" t="str">
            <v>치즈스틱</v>
          </cell>
          <cell r="D133" t="str">
            <v>Cheese Stick</v>
          </cell>
          <cell r="E133"/>
          <cell r="F133" t="str">
            <v>1pc</v>
          </cell>
          <cell r="G133">
            <v>1</v>
          </cell>
          <cell r="H133">
            <v>3885</v>
          </cell>
          <cell r="I133">
            <v>0.23776009791921665</v>
          </cell>
          <cell r="J133">
            <v>1</v>
          </cell>
          <cell r="K133" t="str">
            <v>pc</v>
          </cell>
          <cell r="L133">
            <v>3885</v>
          </cell>
          <cell r="M133"/>
          <cell r="N133">
            <v>3885</v>
          </cell>
        </row>
        <row r="134">
          <cell r="B134" t="str">
            <v>F025</v>
          </cell>
          <cell r="C134" t="str">
            <v>만두 (치킨)</v>
          </cell>
          <cell r="D134" t="str">
            <v>Mandu (chicken)</v>
          </cell>
          <cell r="E134"/>
          <cell r="F134" t="str">
            <v>1kg</v>
          </cell>
          <cell r="G134">
            <v>1000</v>
          </cell>
          <cell r="H134">
            <v>68820</v>
          </cell>
          <cell r="I134">
            <v>4.2117503059975521</v>
          </cell>
          <cell r="J134">
            <v>1</v>
          </cell>
          <cell r="K134" t="str">
            <v>g</v>
          </cell>
          <cell r="L134">
            <v>68.819999999999993</v>
          </cell>
          <cell r="M134"/>
          <cell r="N134">
            <v>68.819999999999993</v>
          </cell>
        </row>
        <row r="135">
          <cell r="B135" t="str">
            <v>F026</v>
          </cell>
          <cell r="C135" t="str">
            <v>만두 (소고기)</v>
          </cell>
          <cell r="D135" t="str">
            <v>Mandu (Beef)</v>
          </cell>
          <cell r="E135"/>
          <cell r="F135" t="str">
            <v>1kg</v>
          </cell>
          <cell r="G135">
            <v>1000</v>
          </cell>
          <cell r="H135">
            <v>82140</v>
          </cell>
          <cell r="I135">
            <v>5.0269277845777234</v>
          </cell>
          <cell r="J135">
            <v>1</v>
          </cell>
          <cell r="K135" t="str">
            <v>g</v>
          </cell>
          <cell r="L135">
            <v>82.14</v>
          </cell>
          <cell r="M135"/>
          <cell r="N135">
            <v>82.14</v>
          </cell>
        </row>
        <row r="136">
          <cell r="B136" t="str">
            <v>F024</v>
          </cell>
          <cell r="C136" t="str">
            <v>치킨 너겟</v>
          </cell>
          <cell r="D136" t="str">
            <v>Chicken Nugget</v>
          </cell>
          <cell r="E136"/>
          <cell r="F136" t="str">
            <v>470g</v>
          </cell>
          <cell r="G136">
            <v>470</v>
          </cell>
          <cell r="H136">
            <v>41900</v>
          </cell>
          <cell r="I136">
            <v>2.5642594859241128</v>
          </cell>
          <cell r="J136">
            <v>1</v>
          </cell>
          <cell r="K136" t="str">
            <v>g</v>
          </cell>
          <cell r="L136">
            <v>89.148936170212764</v>
          </cell>
          <cell r="M136"/>
          <cell r="N136">
            <v>89.148936170212764</v>
          </cell>
        </row>
        <row r="137">
          <cell r="B137" t="str">
            <v>F027</v>
          </cell>
          <cell r="C137" t="str">
            <v>치킨텐더</v>
          </cell>
          <cell r="D137" t="str">
            <v>Fried Chicken Tender</v>
          </cell>
          <cell r="E137"/>
          <cell r="F137" t="str">
            <v>500g</v>
          </cell>
          <cell r="G137">
            <v>500</v>
          </cell>
          <cell r="H137">
            <v>53499.95</v>
          </cell>
          <cell r="I137">
            <v>3.2741707466340269</v>
          </cell>
          <cell r="J137">
            <v>1</v>
          </cell>
          <cell r="K137" t="str">
            <v>g</v>
          </cell>
          <cell r="L137">
            <v>106.9999</v>
          </cell>
          <cell r="M137"/>
          <cell r="N137">
            <v>106.9999</v>
          </cell>
        </row>
        <row r="138">
          <cell r="B138" t="str">
            <v>F028</v>
          </cell>
          <cell r="C138"/>
          <cell r="D138" t="str">
            <v>SOSIS BAKAR (CHICKEN)</v>
          </cell>
          <cell r="E138"/>
          <cell r="F138" t="str">
            <v>500g</v>
          </cell>
          <cell r="G138">
            <v>500</v>
          </cell>
          <cell r="H138">
            <v>25000</v>
          </cell>
          <cell r="I138">
            <v>1.5299877600979193</v>
          </cell>
          <cell r="J138">
            <v>1</v>
          </cell>
          <cell r="K138" t="str">
            <v>g</v>
          </cell>
          <cell r="L138">
            <v>50</v>
          </cell>
          <cell r="M138"/>
          <cell r="N138">
            <v>50</v>
          </cell>
        </row>
        <row r="139">
          <cell r="B139" t="str">
            <v>PK010</v>
          </cell>
          <cell r="C139" t="str">
            <v>냅킨</v>
          </cell>
          <cell r="D139" t="str">
            <v>Napkin</v>
          </cell>
          <cell r="E139"/>
          <cell r="F139" t="str">
            <v>1pack</v>
          </cell>
          <cell r="G139">
            <v>150</v>
          </cell>
          <cell r="H139">
            <v>3328.15</v>
          </cell>
          <cell r="I139">
            <v>0.20368115055079561</v>
          </cell>
          <cell r="J139">
            <v>1</v>
          </cell>
          <cell r="K139" t="str">
            <v>ea</v>
          </cell>
          <cell r="L139">
            <v>22.187666666666669</v>
          </cell>
          <cell r="M139"/>
          <cell r="N139">
            <v>22.187666666666669</v>
          </cell>
        </row>
        <row r="140">
          <cell r="B140" t="str">
            <v>PK011</v>
          </cell>
          <cell r="C140" t="str">
            <v>포크</v>
          </cell>
          <cell r="D140" t="str">
            <v>6.5" Fork</v>
          </cell>
          <cell r="E140"/>
          <cell r="F140" t="str">
            <v>1ea</v>
          </cell>
          <cell r="G140">
            <v>1</v>
          </cell>
          <cell r="H140">
            <v>190</v>
          </cell>
          <cell r="I140">
            <v>1.1627906976744186E-2</v>
          </cell>
          <cell r="J140">
            <v>1</v>
          </cell>
          <cell r="K140" t="str">
            <v>ea</v>
          </cell>
          <cell r="L140">
            <v>190</v>
          </cell>
          <cell r="M140"/>
          <cell r="N140">
            <v>190</v>
          </cell>
        </row>
        <row r="141">
          <cell r="B141" t="str">
            <v>PK012</v>
          </cell>
          <cell r="C141" t="str">
            <v>나이프</v>
          </cell>
          <cell r="D141" t="str">
            <v>7" Knife</v>
          </cell>
          <cell r="E141"/>
          <cell r="F141" t="str">
            <v>100ea</v>
          </cell>
          <cell r="G141">
            <v>100</v>
          </cell>
          <cell r="H141">
            <v>19900</v>
          </cell>
          <cell r="I141">
            <v>1.2178702570379436</v>
          </cell>
          <cell r="J141">
            <v>1</v>
          </cell>
          <cell r="K141" t="str">
            <v>ea</v>
          </cell>
          <cell r="L141">
            <v>199</v>
          </cell>
          <cell r="M141"/>
          <cell r="N141">
            <v>199</v>
          </cell>
        </row>
        <row r="142">
          <cell r="B142" t="str">
            <v>PK013</v>
          </cell>
          <cell r="C142" t="str">
            <v>숟가락</v>
          </cell>
          <cell r="D142" t="str">
            <v>6.5" Spoon</v>
          </cell>
          <cell r="E142"/>
          <cell r="F142" t="str">
            <v>1ea</v>
          </cell>
          <cell r="G142">
            <v>1</v>
          </cell>
          <cell r="H142">
            <v>190</v>
          </cell>
          <cell r="I142">
            <v>1.1627906976744186E-2</v>
          </cell>
          <cell r="J142">
            <v>1</v>
          </cell>
          <cell r="K142" t="str">
            <v>ea</v>
          </cell>
          <cell r="L142">
            <v>190</v>
          </cell>
          <cell r="M142"/>
          <cell r="N142">
            <v>190</v>
          </cell>
        </row>
        <row r="143">
          <cell r="B143" t="str">
            <v>PK019</v>
          </cell>
          <cell r="C143" t="str">
            <v>감자튀김백</v>
          </cell>
          <cell r="D143" t="str">
            <v xml:space="preserve">BB.Q POTATO FRIES BOX (Dine-in) </v>
          </cell>
          <cell r="E143"/>
          <cell r="F143" t="str">
            <v>1ea</v>
          </cell>
          <cell r="G143">
            <v>1</v>
          </cell>
          <cell r="H143">
            <v>535</v>
          </cell>
          <cell r="I143">
            <v>3.2741738066095469E-2</v>
          </cell>
          <cell r="J143">
            <v>1</v>
          </cell>
          <cell r="K143" t="str">
            <v>ea</v>
          </cell>
          <cell r="L143">
            <v>535</v>
          </cell>
          <cell r="M143"/>
          <cell r="N143">
            <v>535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2025 September BBQ CWS"/>
      <sheetName val="2025 September BBQ PIM"/>
      <sheetName val="Sheet1"/>
      <sheetName val="Report"/>
    </sheetNames>
    <sheetDataSet>
      <sheetData sheetId="0" refreshError="1"/>
      <sheetData sheetId="1" refreshError="1"/>
      <sheetData sheetId="2" refreshError="1"/>
      <sheetData sheetId="3" refreshError="1">
        <row r="1">
          <cell r="A1" t="str">
            <v>Last Product Value Report</v>
          </cell>
          <cell r="B1"/>
          <cell r="E1"/>
        </row>
        <row r="2">
          <cell r="A2" t="str">
            <v>Period 31-08-2025 - 31-08-2025</v>
          </cell>
          <cell r="B2"/>
          <cell r="E2"/>
        </row>
        <row r="3">
          <cell r="A3"/>
          <cell r="B3"/>
          <cell r="E3"/>
        </row>
        <row r="4">
          <cell r="A4" t="str">
            <v>Product Name</v>
          </cell>
          <cell r="B4" t="str">
            <v>Unit</v>
          </cell>
          <cell r="E4" t="str">
            <v>Value per Unit</v>
          </cell>
        </row>
        <row r="5">
          <cell r="A5" t="str">
            <v>6.5" FORK</v>
          </cell>
          <cell r="B5" t="str">
            <v>PCS</v>
          </cell>
          <cell r="E5">
            <v>190</v>
          </cell>
        </row>
        <row r="6">
          <cell r="A6" t="str">
            <v>6.5" FORK</v>
          </cell>
          <cell r="B6" t="str">
            <v>PACK @100PCS</v>
          </cell>
          <cell r="E6">
            <v>19000</v>
          </cell>
        </row>
        <row r="7">
          <cell r="A7" t="str">
            <v>6.5" FORK</v>
          </cell>
          <cell r="B7" t="str">
            <v>CTN @3000</v>
          </cell>
          <cell r="E7">
            <v>570000</v>
          </cell>
        </row>
        <row r="8">
          <cell r="A8" t="str">
            <v>6.5" SPOON</v>
          </cell>
          <cell r="B8" t="str">
            <v>CTN @3000</v>
          </cell>
          <cell r="E8">
            <v>570000</v>
          </cell>
        </row>
        <row r="9">
          <cell r="A9" t="str">
            <v>6.5" SPOON</v>
          </cell>
          <cell r="B9" t="str">
            <v>PCS</v>
          </cell>
          <cell r="E9">
            <v>190</v>
          </cell>
        </row>
        <row r="10">
          <cell r="A10" t="str">
            <v>ABC SAMBAL EXTRA PEDAS SACHET</v>
          </cell>
          <cell r="B10" t="str">
            <v>PACK</v>
          </cell>
          <cell r="E10">
            <v>5200</v>
          </cell>
        </row>
        <row r="11">
          <cell r="A11" t="str">
            <v>ABC SAMBAL EXTRA PEDAS SACHET</v>
          </cell>
          <cell r="B11" t="str">
            <v>CTN @21PACK</v>
          </cell>
          <cell r="E11">
            <v>109200</v>
          </cell>
        </row>
        <row r="12">
          <cell r="A12" t="str">
            <v>ABC TOMATO SASET</v>
          </cell>
          <cell r="B12" t="str">
            <v>PACK</v>
          </cell>
          <cell r="E12">
            <v>4712</v>
          </cell>
        </row>
        <row r="13">
          <cell r="A13" t="str">
            <v>ABC TOMATO SASET</v>
          </cell>
          <cell r="B13" t="str">
            <v>CTN</v>
          </cell>
          <cell r="E13">
            <v>98952</v>
          </cell>
        </row>
        <row r="14">
          <cell r="A14" t="str">
            <v>ANCHOR COOKING CREAM</v>
          </cell>
          <cell r="B14" t="str">
            <v>ML</v>
          </cell>
          <cell r="E14">
            <v>85.5809</v>
          </cell>
        </row>
        <row r="15">
          <cell r="A15" t="str">
            <v>ANCHOR COOKING CREAM</v>
          </cell>
          <cell r="B15" t="str">
            <v>L</v>
          </cell>
          <cell r="E15">
            <v>85580.9</v>
          </cell>
        </row>
        <row r="16">
          <cell r="A16" t="str">
            <v>APRON FULL BBQ</v>
          </cell>
          <cell r="B16" t="str">
            <v>PCS</v>
          </cell>
          <cell r="E16">
            <v>0</v>
          </cell>
        </row>
        <row r="17">
          <cell r="A17" t="str">
            <v>APRON HALF BBQ</v>
          </cell>
          <cell r="B17" t="str">
            <v>PCS</v>
          </cell>
          <cell r="E17">
            <v>0</v>
          </cell>
        </row>
        <row r="18">
          <cell r="A18" t="str">
            <v>BATTERING POWDER MIX</v>
          </cell>
          <cell r="B18" t="str">
            <v>GR</v>
          </cell>
          <cell r="E18">
            <v>58.1768</v>
          </cell>
        </row>
        <row r="19">
          <cell r="A19" t="str">
            <v>BATTERING POWDER MIX</v>
          </cell>
          <cell r="B19" t="str">
            <v>PACK @1KG</v>
          </cell>
          <cell r="E19">
            <v>58176.800000000003</v>
          </cell>
        </row>
        <row r="20">
          <cell r="A20" t="str">
            <v>BATTERING POWDER MIX</v>
          </cell>
          <cell r="B20" t="str">
            <v>CTN @20KG</v>
          </cell>
          <cell r="E20">
            <v>1163536</v>
          </cell>
        </row>
        <row r="21">
          <cell r="A21" t="str">
            <v>BATTERING POWDER MIX C</v>
          </cell>
          <cell r="B21" t="str">
            <v>GR</v>
          </cell>
          <cell r="E21">
            <v>59.28</v>
          </cell>
        </row>
        <row r="22">
          <cell r="A22" t="str">
            <v>BATTERING POWDER MIX C</v>
          </cell>
          <cell r="B22" t="str">
            <v>PACK @1KG</v>
          </cell>
          <cell r="E22">
            <v>59280</v>
          </cell>
        </row>
        <row r="23">
          <cell r="A23" t="str">
            <v>BATTERING POWDER MIX C</v>
          </cell>
          <cell r="B23" t="str">
            <v>CTN @20KG</v>
          </cell>
          <cell r="E23">
            <v>1185600</v>
          </cell>
        </row>
        <row r="24">
          <cell r="A24" t="str">
            <v>BAWANG MERAH GORENG</v>
          </cell>
          <cell r="B24" t="str">
            <v>GR</v>
          </cell>
          <cell r="E24">
            <v>135</v>
          </cell>
        </row>
        <row r="25">
          <cell r="A25" t="str">
            <v>BAWANG MERAH GORENG</v>
          </cell>
          <cell r="B25" t="str">
            <v>KG</v>
          </cell>
          <cell r="E25">
            <v>135000</v>
          </cell>
        </row>
        <row r="26">
          <cell r="A26" t="str">
            <v>BAWANG PUTIH</v>
          </cell>
          <cell r="B26" t="str">
            <v>KG</v>
          </cell>
          <cell r="E26">
            <v>45000</v>
          </cell>
        </row>
        <row r="27">
          <cell r="A27" t="str">
            <v>BAWANG PUTIH</v>
          </cell>
          <cell r="B27" t="str">
            <v>GR</v>
          </cell>
          <cell r="E27">
            <v>45</v>
          </cell>
        </row>
        <row r="28">
          <cell r="A28" t="str">
            <v>BAWANG PUTIH GORENG</v>
          </cell>
          <cell r="B28" t="str">
            <v>GR</v>
          </cell>
          <cell r="E28">
            <v>89.9</v>
          </cell>
        </row>
        <row r="29">
          <cell r="A29" t="str">
            <v>BAWANG PUTIH GORENG</v>
          </cell>
          <cell r="B29" t="str">
            <v>KG</v>
          </cell>
          <cell r="E29">
            <v>89900</v>
          </cell>
        </row>
        <row r="30">
          <cell r="A30" t="str">
            <v>BB.Q APPITIZER BOX</v>
          </cell>
          <cell r="B30" t="str">
            <v>PCS</v>
          </cell>
          <cell r="E30">
            <v>720</v>
          </cell>
        </row>
        <row r="31">
          <cell r="A31" t="str">
            <v>BB.Q APPITIZER BOX</v>
          </cell>
          <cell r="B31" t="str">
            <v>CTN @300</v>
          </cell>
          <cell r="E31">
            <v>216000</v>
          </cell>
        </row>
        <row r="32">
          <cell r="A32" t="str">
            <v>BB.Q CHAMSHELL BOX</v>
          </cell>
          <cell r="B32" t="str">
            <v>PCS</v>
          </cell>
          <cell r="E32">
            <v>670</v>
          </cell>
        </row>
        <row r="33">
          <cell r="A33" t="str">
            <v>BB.Q CHAMSHELL BOX</v>
          </cell>
          <cell r="B33" t="str">
            <v>CTN @400</v>
          </cell>
          <cell r="E33">
            <v>268000</v>
          </cell>
        </row>
        <row r="34">
          <cell r="A34" t="str">
            <v>BB.Q FOODPAIL L</v>
          </cell>
          <cell r="B34" t="str">
            <v>PCS</v>
          </cell>
          <cell r="E34">
            <v>1238</v>
          </cell>
        </row>
        <row r="35">
          <cell r="A35" t="str">
            <v>BB.Q FOODPAIL L</v>
          </cell>
          <cell r="B35" t="str">
            <v>CTN @200</v>
          </cell>
          <cell r="E35">
            <v>247600</v>
          </cell>
        </row>
        <row r="36">
          <cell r="A36" t="str">
            <v>BB.Q FOODPAIL M</v>
          </cell>
          <cell r="B36" t="str">
            <v>PCS</v>
          </cell>
          <cell r="E36">
            <v>1204</v>
          </cell>
        </row>
        <row r="37">
          <cell r="A37" t="str">
            <v>BB.Q FOODPAIL M</v>
          </cell>
          <cell r="B37" t="str">
            <v>CTN @200</v>
          </cell>
          <cell r="E37">
            <v>240800</v>
          </cell>
        </row>
        <row r="38">
          <cell r="A38" t="str">
            <v>BB.Q PAPER BAG FRIES (TakeAway)</v>
          </cell>
          <cell r="B38" t="str">
            <v>PCS</v>
          </cell>
          <cell r="E38">
            <v>737</v>
          </cell>
        </row>
        <row r="39">
          <cell r="A39" t="str">
            <v>BB.Q PAPER BAG FRIES (TakeAway)</v>
          </cell>
          <cell r="B39" t="str">
            <v>PACK @50PCS</v>
          </cell>
          <cell r="E39">
            <v>36850</v>
          </cell>
        </row>
        <row r="40">
          <cell r="A40" t="str">
            <v>BB.Q PAPERTRAY</v>
          </cell>
          <cell r="B40" t="str">
            <v>PCS</v>
          </cell>
          <cell r="E40">
            <v>550</v>
          </cell>
        </row>
        <row r="41">
          <cell r="A41" t="str">
            <v>BB.Q PAPERTRAY</v>
          </cell>
          <cell r="B41" t="str">
            <v>CTN @500</v>
          </cell>
          <cell r="E41">
            <v>275000</v>
          </cell>
        </row>
        <row r="42">
          <cell r="A42" t="str">
            <v>BB.Q POTATO FRIES BOX (Dine In)</v>
          </cell>
          <cell r="B42" t="str">
            <v>PCS</v>
          </cell>
          <cell r="E42">
            <v>535</v>
          </cell>
        </row>
        <row r="43">
          <cell r="A43" t="str">
            <v>BB.Q POTATO FRIES BOX (Dine In)</v>
          </cell>
          <cell r="B43" t="str">
            <v>CTN @500</v>
          </cell>
          <cell r="E43">
            <v>267500</v>
          </cell>
        </row>
        <row r="44">
          <cell r="A44" t="str">
            <v>BB.Q TAKEAWAY BOX XL</v>
          </cell>
          <cell r="B44" t="str">
            <v>PCS</v>
          </cell>
          <cell r="E44">
            <v>1800</v>
          </cell>
        </row>
        <row r="45">
          <cell r="A45" t="str">
            <v>BB.Q TAKEAWAY BOX XL</v>
          </cell>
          <cell r="B45" t="str">
            <v>CTN @250</v>
          </cell>
          <cell r="E45">
            <v>450000</v>
          </cell>
        </row>
        <row r="46">
          <cell r="A46" t="str">
            <v>BLACK PEPPER</v>
          </cell>
          <cell r="B46" t="str">
            <v>GR</v>
          </cell>
          <cell r="E46">
            <v>17</v>
          </cell>
        </row>
        <row r="47">
          <cell r="A47" t="str">
            <v>BLACK PEPPER</v>
          </cell>
          <cell r="B47" t="str">
            <v>KG</v>
          </cell>
          <cell r="E47">
            <v>17000</v>
          </cell>
        </row>
        <row r="48">
          <cell r="A48" t="str">
            <v>BONALLIE BLACK TEA</v>
          </cell>
          <cell r="B48" t="str">
            <v>GR</v>
          </cell>
          <cell r="E48">
            <v>277.5</v>
          </cell>
        </row>
        <row r="49">
          <cell r="A49" t="str">
            <v>BONALLIE BLACK TEA</v>
          </cell>
          <cell r="B49" t="str">
            <v>PACK @400GR</v>
          </cell>
          <cell r="E49">
            <v>111000</v>
          </cell>
        </row>
        <row r="50">
          <cell r="A50" t="str">
            <v>BONALLIE BLACK TEA</v>
          </cell>
          <cell r="B50" t="str">
            <v>CTN @10PACK</v>
          </cell>
          <cell r="E50">
            <v>1110000</v>
          </cell>
        </row>
        <row r="51">
          <cell r="A51" t="str">
            <v>BONALLIE CHOCO</v>
          </cell>
          <cell r="B51" t="str">
            <v>ML</v>
          </cell>
          <cell r="E51">
            <v>162.80000000000001</v>
          </cell>
        </row>
        <row r="52">
          <cell r="A52" t="str">
            <v>BONALLIE CHOCO</v>
          </cell>
          <cell r="B52" t="str">
            <v>BOTOL @750ML</v>
          </cell>
          <cell r="E52">
            <v>122100</v>
          </cell>
        </row>
        <row r="53">
          <cell r="A53" t="str">
            <v>BONALLIE GRAPE</v>
          </cell>
          <cell r="B53" t="str">
            <v>ML</v>
          </cell>
          <cell r="E53">
            <v>156.98570000000001</v>
          </cell>
        </row>
        <row r="54">
          <cell r="A54" t="str">
            <v>BONALLIE GRAPE</v>
          </cell>
          <cell r="B54" t="str">
            <v>BOTOL @700</v>
          </cell>
          <cell r="E54">
            <v>109889.99</v>
          </cell>
        </row>
        <row r="55">
          <cell r="A55" t="str">
            <v>BONALLIE LYCHEE</v>
          </cell>
          <cell r="B55" t="str">
            <v>BOTOL @750ML</v>
          </cell>
          <cell r="E55">
            <v>77700</v>
          </cell>
        </row>
        <row r="56">
          <cell r="A56" t="str">
            <v>BONALLIE LYCHEE</v>
          </cell>
          <cell r="B56" t="str">
            <v>CTN @6</v>
          </cell>
          <cell r="E56">
            <v>466200</v>
          </cell>
        </row>
        <row r="57">
          <cell r="A57" t="str">
            <v>BONALLIE LYCHEE</v>
          </cell>
          <cell r="B57" t="str">
            <v>ML</v>
          </cell>
          <cell r="E57">
            <v>103.6</v>
          </cell>
        </row>
        <row r="58">
          <cell r="A58" t="str">
            <v>BONALLIE MANGO</v>
          </cell>
          <cell r="B58" t="str">
            <v>ML</v>
          </cell>
          <cell r="E58">
            <v>103.6</v>
          </cell>
        </row>
        <row r="59">
          <cell r="A59" t="str">
            <v>BONALLIE MANGO</v>
          </cell>
          <cell r="B59" t="str">
            <v>BOTOL @750ML</v>
          </cell>
          <cell r="E59">
            <v>77700</v>
          </cell>
        </row>
        <row r="60">
          <cell r="A60" t="str">
            <v>BONALLIE MANGO</v>
          </cell>
          <cell r="B60" t="str">
            <v>CTN @6</v>
          </cell>
          <cell r="E60">
            <v>466200</v>
          </cell>
        </row>
        <row r="61">
          <cell r="A61" t="str">
            <v>BONALLIE PEACH</v>
          </cell>
          <cell r="B61" t="str">
            <v>ML</v>
          </cell>
          <cell r="E61">
            <v>103.6</v>
          </cell>
        </row>
        <row r="62">
          <cell r="A62" t="str">
            <v>BONALLIE PEACH</v>
          </cell>
          <cell r="B62" t="str">
            <v>BOTOL @750ML</v>
          </cell>
          <cell r="E62">
            <v>77700</v>
          </cell>
        </row>
        <row r="63">
          <cell r="A63" t="str">
            <v>BONALLIE PEACH</v>
          </cell>
          <cell r="B63" t="str">
            <v>CTN @6</v>
          </cell>
          <cell r="E63">
            <v>466200</v>
          </cell>
        </row>
        <row r="64">
          <cell r="A64" t="str">
            <v>BONALLIE ROSE</v>
          </cell>
          <cell r="B64" t="str">
            <v>ML</v>
          </cell>
          <cell r="E64">
            <v>156.98570000000001</v>
          </cell>
        </row>
        <row r="65">
          <cell r="A65" t="str">
            <v>BONALLIE ROSE</v>
          </cell>
          <cell r="B65" t="str">
            <v>BOTOL @700</v>
          </cell>
          <cell r="E65">
            <v>109889.99</v>
          </cell>
        </row>
        <row r="66">
          <cell r="A66" t="str">
            <v>BONALLIE STRAWBERRY</v>
          </cell>
          <cell r="B66" t="str">
            <v>CTN @6</v>
          </cell>
          <cell r="E66">
            <v>466200</v>
          </cell>
        </row>
        <row r="67">
          <cell r="A67" t="str">
            <v>BONALLIE STRAWBERRY</v>
          </cell>
          <cell r="B67" t="str">
            <v>ML</v>
          </cell>
          <cell r="E67">
            <v>103.6</v>
          </cell>
        </row>
        <row r="68">
          <cell r="A68" t="str">
            <v>BONALLIE STRAWBERRY</v>
          </cell>
          <cell r="B68" t="str">
            <v>BOTOL @750ML</v>
          </cell>
          <cell r="E68">
            <v>77700</v>
          </cell>
        </row>
        <row r="69">
          <cell r="A69" t="str">
            <v>RED PEPPER POWDER (FINE) - JAVA 4 BUBUK CABE PADAS</v>
          </cell>
          <cell r="B69" t="str">
            <v>GR</v>
          </cell>
          <cell r="E69">
            <v>88.8</v>
          </cell>
        </row>
        <row r="70">
          <cell r="A70" t="str">
            <v>RED PEPPER POWDER (FINE) - JAVA 4 BUBUK CABE PADAS</v>
          </cell>
          <cell r="B70" t="str">
            <v>KG</v>
          </cell>
          <cell r="E70">
            <v>88800</v>
          </cell>
        </row>
        <row r="71">
          <cell r="A71" t="str">
            <v>CHEESE STICK</v>
          </cell>
          <cell r="B71" t="str">
            <v>PCS</v>
          </cell>
          <cell r="E71">
            <v>3885</v>
          </cell>
        </row>
        <row r="72">
          <cell r="A72" t="str">
            <v>CHEESE STICK</v>
          </cell>
          <cell r="B72" t="str">
            <v>PACK @18 PCS</v>
          </cell>
          <cell r="E72">
            <v>69930</v>
          </cell>
        </row>
        <row r="73">
          <cell r="A73" t="str">
            <v>CHEESE TASTE SEASONING MIX</v>
          </cell>
          <cell r="B73" t="str">
            <v>GR</v>
          </cell>
          <cell r="E73">
            <v>236.91</v>
          </cell>
        </row>
        <row r="74">
          <cell r="A74" t="str">
            <v>CHEESE TASTE SEASONING MIX</v>
          </cell>
          <cell r="B74" t="str">
            <v>KG</v>
          </cell>
          <cell r="E74">
            <v>236910</v>
          </cell>
        </row>
        <row r="75">
          <cell r="A75" t="str">
            <v>CHEESE TASTE SEASONING MIX</v>
          </cell>
          <cell r="B75" t="str">
            <v>CTN @25KG</v>
          </cell>
          <cell r="E75">
            <v>5922750</v>
          </cell>
        </row>
        <row r="76">
          <cell r="A76" t="str">
            <v>CHICKEN NUGGET</v>
          </cell>
          <cell r="B76" t="str">
            <v>GR</v>
          </cell>
          <cell r="E76">
            <v>89.148700000000005</v>
          </cell>
        </row>
        <row r="77">
          <cell r="A77" t="str">
            <v>CHICKEN NUGGET</v>
          </cell>
          <cell r="B77" t="str">
            <v>PACK @470GR</v>
          </cell>
          <cell r="E77">
            <v>41899.889000000003</v>
          </cell>
        </row>
        <row r="78">
          <cell r="A78" t="str">
            <v>CHICKEN NUGGET</v>
          </cell>
          <cell r="B78" t="str">
            <v>CTN @12PACK</v>
          </cell>
          <cell r="E78">
            <v>502798.66800000001</v>
          </cell>
        </row>
        <row r="79">
          <cell r="A79" t="str">
            <v>CHILLED RICH DOUBLE CREAM</v>
          </cell>
          <cell r="B79" t="str">
            <v>ML</v>
          </cell>
          <cell r="E79">
            <v>68.819999999999993</v>
          </cell>
        </row>
        <row r="80">
          <cell r="A80" t="str">
            <v>CHILLED RICH DOUBLE CREAM</v>
          </cell>
          <cell r="B80" t="str">
            <v>PCS</v>
          </cell>
          <cell r="E80">
            <v>68820</v>
          </cell>
        </row>
        <row r="81">
          <cell r="A81" t="str">
            <v>CHILLED RICH DOUBLE CREAM</v>
          </cell>
          <cell r="B81" t="str">
            <v>CTN @12</v>
          </cell>
          <cell r="E81">
            <v>825840</v>
          </cell>
        </row>
        <row r="82">
          <cell r="A82" t="str">
            <v>COCONUT FLAKE</v>
          </cell>
          <cell r="B82" t="str">
            <v>GR</v>
          </cell>
          <cell r="E82">
            <v>156</v>
          </cell>
        </row>
        <row r="83">
          <cell r="A83" t="str">
            <v>COCONUT FLAKE</v>
          </cell>
          <cell r="B83" t="str">
            <v>PACK @250</v>
          </cell>
          <cell r="E83">
            <v>39000</v>
          </cell>
        </row>
        <row r="84">
          <cell r="A84" t="str">
            <v>COCONUT FLAKE</v>
          </cell>
          <cell r="B84" t="str">
            <v>PACK @500</v>
          </cell>
          <cell r="E84">
            <v>78000</v>
          </cell>
        </row>
        <row r="85">
          <cell r="A85" t="str">
            <v>COLA BIB 10L</v>
          </cell>
          <cell r="B85" t="str">
            <v>ML</v>
          </cell>
          <cell r="E85">
            <v>70</v>
          </cell>
        </row>
        <row r="86">
          <cell r="A86" t="str">
            <v>COLA BIB 10L</v>
          </cell>
          <cell r="B86" t="str">
            <v>CTN @10L</v>
          </cell>
          <cell r="E86">
            <v>700000</v>
          </cell>
        </row>
        <row r="87">
          <cell r="A87" t="str">
            <v>COLA CAN 250ML</v>
          </cell>
          <cell r="B87" t="str">
            <v>CAN</v>
          </cell>
          <cell r="E87">
            <v>4647.9166999999998</v>
          </cell>
        </row>
        <row r="88">
          <cell r="A88" t="str">
            <v>COLA CAN 250ML</v>
          </cell>
          <cell r="B88" t="str">
            <v>CTN @24</v>
          </cell>
          <cell r="E88">
            <v>111550.00079999999</v>
          </cell>
        </row>
        <row r="89">
          <cell r="A89" t="str">
            <v>CORN FLAKE</v>
          </cell>
          <cell r="B89" t="str">
            <v>KG</v>
          </cell>
          <cell r="E89">
            <v>110000</v>
          </cell>
        </row>
        <row r="90">
          <cell r="A90" t="str">
            <v>CORN FLAKE</v>
          </cell>
          <cell r="B90" t="str">
            <v>GR</v>
          </cell>
          <cell r="E90">
            <v>110</v>
          </cell>
        </row>
        <row r="91">
          <cell r="A91" t="str">
            <v>CRUSHED PEANUT</v>
          </cell>
          <cell r="B91" t="str">
            <v>GR</v>
          </cell>
          <cell r="E91">
            <v>61.9</v>
          </cell>
        </row>
        <row r="92">
          <cell r="A92" t="str">
            <v>CRUSHED PEANUT</v>
          </cell>
          <cell r="B92" t="str">
            <v>KG</v>
          </cell>
          <cell r="E92">
            <v>61900</v>
          </cell>
        </row>
        <row r="93">
          <cell r="A93" t="str">
            <v>CUP PAPER #8</v>
          </cell>
          <cell r="B93" t="str">
            <v>PCS</v>
          </cell>
          <cell r="E93">
            <v>1428</v>
          </cell>
        </row>
        <row r="94">
          <cell r="A94" t="str">
            <v>CUP PAPER #8</v>
          </cell>
          <cell r="B94" t="str">
            <v>CTN @500</v>
          </cell>
          <cell r="E94">
            <v>714000</v>
          </cell>
        </row>
        <row r="95">
          <cell r="A95" t="str">
            <v>CUP PAPER #8</v>
          </cell>
          <cell r="B95" t="str">
            <v>CTN @1000</v>
          </cell>
          <cell r="E95">
            <v>1428000</v>
          </cell>
        </row>
        <row r="96">
          <cell r="A96" t="str">
            <v>CUP PLS #14</v>
          </cell>
          <cell r="B96" t="str">
            <v>CTN @1000</v>
          </cell>
          <cell r="E96">
            <v>694000</v>
          </cell>
        </row>
        <row r="97">
          <cell r="A97" t="str">
            <v>CUP PLS #14</v>
          </cell>
          <cell r="B97" t="str">
            <v>PCS</v>
          </cell>
          <cell r="E97">
            <v>694</v>
          </cell>
        </row>
        <row r="98">
          <cell r="A98" t="str">
            <v>CUP SUNDAE #8 OZ</v>
          </cell>
          <cell r="B98" t="str">
            <v>PCS</v>
          </cell>
          <cell r="E98">
            <v>375</v>
          </cell>
        </row>
        <row r="99">
          <cell r="A99" t="str">
            <v>CUP SUNDAE #8 OZ</v>
          </cell>
          <cell r="B99" t="str">
            <v>PACK @50PCS</v>
          </cell>
          <cell r="E99">
            <v>18750</v>
          </cell>
        </row>
        <row r="100">
          <cell r="A100" t="str">
            <v>CUP SUNDAE #8 OZ</v>
          </cell>
          <cell r="B100" t="str">
            <v>CTN @1000</v>
          </cell>
          <cell r="E100">
            <v>375000</v>
          </cell>
        </row>
        <row r="101">
          <cell r="A101" t="str">
            <v>CUTLERIES</v>
          </cell>
          <cell r="B101" t="str">
            <v>CTN @600</v>
          </cell>
          <cell r="E101">
            <v>265800</v>
          </cell>
        </row>
        <row r="102">
          <cell r="A102" t="str">
            <v>CUTLERIES</v>
          </cell>
          <cell r="B102" t="str">
            <v>PCS</v>
          </cell>
          <cell r="E102">
            <v>443</v>
          </cell>
        </row>
        <row r="103">
          <cell r="A103" t="str">
            <v>DARK SOY SAUCED</v>
          </cell>
          <cell r="B103" t="str">
            <v>ML</v>
          </cell>
          <cell r="E103">
            <v>73.481999999999999</v>
          </cell>
        </row>
        <row r="104">
          <cell r="A104" t="str">
            <v>DARK SOY SAUCED</v>
          </cell>
          <cell r="B104" t="str">
            <v>PACK @500</v>
          </cell>
          <cell r="E104">
            <v>36741</v>
          </cell>
        </row>
        <row r="105">
          <cell r="A105" t="str">
            <v>DEEP FRYING (FALMIA OIL BIB)</v>
          </cell>
          <cell r="B105" t="str">
            <v>GR</v>
          </cell>
          <cell r="E105">
            <v>25.45</v>
          </cell>
        </row>
        <row r="106">
          <cell r="A106" t="str">
            <v>DEEP FRYING (FALMIA OIL BIB)</v>
          </cell>
          <cell r="B106" t="str">
            <v>CTN @15 KG</v>
          </cell>
          <cell r="E106">
            <v>381750</v>
          </cell>
        </row>
        <row r="107">
          <cell r="A107" t="str">
            <v>DELMONTE TOMATO SASET</v>
          </cell>
          <cell r="B107" t="str">
            <v>PACK</v>
          </cell>
          <cell r="E107">
            <v>98952</v>
          </cell>
        </row>
        <row r="108">
          <cell r="A108" t="str">
            <v>DISHWASHING LIQUID</v>
          </cell>
          <cell r="B108" t="str">
            <v>DRG @5L</v>
          </cell>
          <cell r="E108">
            <v>65000</v>
          </cell>
        </row>
        <row r="109">
          <cell r="A109" t="str">
            <v>DRINK PACKAGE LID(16OZ)</v>
          </cell>
          <cell r="B109" t="str">
            <v>PCS</v>
          </cell>
          <cell r="E109">
            <v>200</v>
          </cell>
        </row>
        <row r="110">
          <cell r="A110" t="str">
            <v>DRINK PACKAGE LID(16OZ)</v>
          </cell>
          <cell r="B110" t="str">
            <v>CTN @1000</v>
          </cell>
          <cell r="E110">
            <v>200000</v>
          </cell>
        </row>
        <row r="111">
          <cell r="A111" t="str">
            <v>DRINK PACKAGE(16OZ)</v>
          </cell>
          <cell r="B111" t="str">
            <v>PCS</v>
          </cell>
          <cell r="E111">
            <v>750</v>
          </cell>
        </row>
        <row r="112">
          <cell r="A112" t="str">
            <v>DRINK PACKAGE(16OZ)</v>
          </cell>
          <cell r="B112" t="str">
            <v>CTN @1000</v>
          </cell>
          <cell r="E112">
            <v>750000</v>
          </cell>
        </row>
        <row r="113">
          <cell r="A113" t="str">
            <v>EASYMIX WAFFE</v>
          </cell>
          <cell r="B113" t="str">
            <v>GR</v>
          </cell>
          <cell r="E113">
            <v>42.734999999999999</v>
          </cell>
        </row>
        <row r="114">
          <cell r="A114" t="str">
            <v>EASYMIX WAFFE</v>
          </cell>
          <cell r="B114" t="str">
            <v>KG</v>
          </cell>
          <cell r="E114">
            <v>42735</v>
          </cell>
        </row>
        <row r="115">
          <cell r="A115" t="str">
            <v>EASYMIX WAFFE</v>
          </cell>
          <cell r="B115" t="str">
            <v>CTN @10.000</v>
          </cell>
          <cell r="E115">
            <v>427350</v>
          </cell>
        </row>
        <row r="116">
          <cell r="A116" t="str">
            <v>FANTA BIB 10L</v>
          </cell>
          <cell r="B116" t="str">
            <v>ML</v>
          </cell>
          <cell r="E116">
            <v>70</v>
          </cell>
        </row>
        <row r="117">
          <cell r="A117" t="str">
            <v>FANTA BIB 10L</v>
          </cell>
          <cell r="B117" t="str">
            <v>CTN @10L</v>
          </cell>
          <cell r="E117">
            <v>700000</v>
          </cell>
        </row>
        <row r="118">
          <cell r="A118" t="str">
            <v>FANTA STRAW CAN 250ML</v>
          </cell>
          <cell r="B118" t="str">
            <v>CAN</v>
          </cell>
          <cell r="E118">
            <v>5159.1899999999996</v>
          </cell>
        </row>
        <row r="119">
          <cell r="A119" t="str">
            <v>FANTA STRAW CAN 250ML</v>
          </cell>
          <cell r="B119" t="str">
            <v>CTN @24</v>
          </cell>
          <cell r="E119">
            <v>123820.56</v>
          </cell>
        </row>
        <row r="120">
          <cell r="A120" t="str">
            <v>FISH CAKE</v>
          </cell>
          <cell r="B120" t="str">
            <v>GR</v>
          </cell>
          <cell r="E120">
            <v>61.05</v>
          </cell>
        </row>
        <row r="121">
          <cell r="A121" t="str">
            <v>FISH CAKE</v>
          </cell>
          <cell r="B121" t="str">
            <v>PACK @1KG</v>
          </cell>
          <cell r="E121">
            <v>61050</v>
          </cell>
        </row>
        <row r="122">
          <cell r="A122" t="str">
            <v>FLOOR CLEANER</v>
          </cell>
          <cell r="B122" t="str">
            <v>DRG @5L</v>
          </cell>
          <cell r="E122">
            <v>55300</v>
          </cell>
        </row>
        <row r="123">
          <cell r="A123" t="str">
            <v>FLOOR CLEANERANTI INSECT</v>
          </cell>
          <cell r="B123" t="str">
            <v>DRG @5L</v>
          </cell>
          <cell r="E123">
            <v>82700</v>
          </cell>
        </row>
        <row r="124">
          <cell r="A124" t="str">
            <v>FRENCH FRIES</v>
          </cell>
          <cell r="B124" t="str">
            <v>GR</v>
          </cell>
          <cell r="E124">
            <v>56.61</v>
          </cell>
        </row>
        <row r="125">
          <cell r="A125" t="str">
            <v>FRENCH FRIES</v>
          </cell>
          <cell r="B125" t="str">
            <v>KG</v>
          </cell>
          <cell r="E125">
            <v>56610</v>
          </cell>
        </row>
        <row r="126">
          <cell r="A126" t="str">
            <v>FRENCH FRIES</v>
          </cell>
          <cell r="B126" t="str">
            <v>BATCH @13,62</v>
          </cell>
          <cell r="E126">
            <v>771028.2</v>
          </cell>
        </row>
        <row r="127">
          <cell r="A127" t="str">
            <v>FRES MILK PLAIN CIMORY 950ML</v>
          </cell>
          <cell r="B127" t="str">
            <v>ML</v>
          </cell>
          <cell r="E127">
            <v>18.421099999999999</v>
          </cell>
        </row>
        <row r="128">
          <cell r="A128" t="str">
            <v>FRES MILK PLAIN CIMORY 950ML</v>
          </cell>
          <cell r="B128" t="str">
            <v>PACK @950</v>
          </cell>
          <cell r="E128">
            <v>17500.044999999998</v>
          </cell>
        </row>
        <row r="129">
          <cell r="A129" t="str">
            <v>GARLIC FLAVOUR SOY SAUCE</v>
          </cell>
          <cell r="B129" t="str">
            <v>GR</v>
          </cell>
          <cell r="E129">
            <v>89.22</v>
          </cell>
        </row>
        <row r="130">
          <cell r="A130" t="str">
            <v>GARLIC FLAVOUR SOY SAUCE</v>
          </cell>
          <cell r="B130" t="str">
            <v>PACK @1KG</v>
          </cell>
          <cell r="E130">
            <v>89220</v>
          </cell>
        </row>
        <row r="131">
          <cell r="A131" t="str">
            <v>GARLIC FLAVOUR SOY SAUCE</v>
          </cell>
          <cell r="B131" t="str">
            <v>CTN @10.000</v>
          </cell>
          <cell r="E131">
            <v>892200</v>
          </cell>
        </row>
        <row r="132">
          <cell r="A132" t="str">
            <v>GIMBORI</v>
          </cell>
          <cell r="B132" t="str">
            <v>PACK @60Gr</v>
          </cell>
          <cell r="E132">
            <v>23220</v>
          </cell>
        </row>
        <row r="133">
          <cell r="A133" t="str">
            <v>GIMBORI</v>
          </cell>
          <cell r="B133" t="str">
            <v>GR</v>
          </cell>
          <cell r="E133">
            <v>387</v>
          </cell>
        </row>
        <row r="134">
          <cell r="A134" t="str">
            <v>GIMBORI</v>
          </cell>
          <cell r="B134" t="str">
            <v>PACK @50GR</v>
          </cell>
          <cell r="E134">
            <v>19350</v>
          </cell>
        </row>
        <row r="135">
          <cell r="A135" t="str">
            <v>GIMBORI</v>
          </cell>
          <cell r="B135" t="str">
            <v>KG</v>
          </cell>
          <cell r="E135">
            <v>387000</v>
          </cell>
        </row>
        <row r="136">
          <cell r="A136" t="str">
            <v>GLASS CLEANER</v>
          </cell>
          <cell r="B136" t="str">
            <v>DRG @5L</v>
          </cell>
          <cell r="E136">
            <v>55300</v>
          </cell>
        </row>
        <row r="137">
          <cell r="A137" t="str">
            <v>GRATED PARMESAN CHEESE</v>
          </cell>
          <cell r="B137" t="str">
            <v>GR</v>
          </cell>
          <cell r="E137">
            <v>260</v>
          </cell>
        </row>
        <row r="138">
          <cell r="A138" t="str">
            <v>GRATED PARMESAN CHEESE</v>
          </cell>
          <cell r="B138" t="str">
            <v>KG</v>
          </cell>
          <cell r="E138">
            <v>260000</v>
          </cell>
        </row>
        <row r="139">
          <cell r="A139" t="str">
            <v>GREZZE CLEANER</v>
          </cell>
          <cell r="B139" t="str">
            <v>DRG @5L</v>
          </cell>
          <cell r="E139">
            <v>139860</v>
          </cell>
        </row>
        <row r="140">
          <cell r="A140" t="str">
            <v>HAND GLOVES</v>
          </cell>
          <cell r="B140" t="str">
            <v>PACK</v>
          </cell>
          <cell r="E140">
            <v>6600</v>
          </cell>
        </row>
        <row r="141">
          <cell r="A141" t="str">
            <v>HAND GLOVES</v>
          </cell>
          <cell r="B141" t="str">
            <v>CTN @50</v>
          </cell>
          <cell r="E141">
            <v>330000</v>
          </cell>
        </row>
        <row r="142">
          <cell r="A142" t="str">
            <v>HAND GLOVES LATEX</v>
          </cell>
          <cell r="B142" t="str">
            <v>PACK</v>
          </cell>
          <cell r="E142">
            <v>199999</v>
          </cell>
        </row>
        <row r="143">
          <cell r="A143" t="str">
            <v>HANDSOAP</v>
          </cell>
          <cell r="B143" t="str">
            <v>DRG @5L</v>
          </cell>
          <cell r="E143">
            <v>66000</v>
          </cell>
        </row>
        <row r="144">
          <cell r="A144" t="str">
            <v>HONEY PEPPER SAUCE</v>
          </cell>
          <cell r="B144" t="str">
            <v>GR</v>
          </cell>
          <cell r="E144">
            <v>114.2375</v>
          </cell>
        </row>
        <row r="145">
          <cell r="A145" t="str">
            <v>HONEY PEPPER SAUCE</v>
          </cell>
          <cell r="B145" t="str">
            <v>PACK @2KG</v>
          </cell>
          <cell r="E145">
            <v>228475</v>
          </cell>
        </row>
        <row r="146">
          <cell r="A146" t="str">
            <v>HONEY PEPPER SAUCE</v>
          </cell>
          <cell r="B146" t="str">
            <v>CTN @12KG</v>
          </cell>
          <cell r="E146">
            <v>1370850</v>
          </cell>
        </row>
        <row r="147">
          <cell r="A147" t="str">
            <v>HOT PEPPER PASTE 2.8KG</v>
          </cell>
          <cell r="B147" t="str">
            <v>GR</v>
          </cell>
          <cell r="E147">
            <v>25.640699999999999</v>
          </cell>
        </row>
        <row r="148">
          <cell r="A148" t="str">
            <v>HOT PEPPER PASTE 2.8KG</v>
          </cell>
          <cell r="B148" t="str">
            <v>KG</v>
          </cell>
          <cell r="E148">
            <v>25640.7</v>
          </cell>
        </row>
        <row r="149">
          <cell r="A149" t="str">
            <v>HOT PEPPER PASTE 2.8KG</v>
          </cell>
          <cell r="B149" t="str">
            <v>PACK @2,8KG</v>
          </cell>
          <cell r="E149">
            <v>71793.960000000006</v>
          </cell>
        </row>
        <row r="150">
          <cell r="A150" t="str">
            <v>HOT SPICY SAUCE</v>
          </cell>
          <cell r="B150" t="str">
            <v>CTN @10.000</v>
          </cell>
          <cell r="E150">
            <v>1304250</v>
          </cell>
        </row>
        <row r="151">
          <cell r="A151" t="str">
            <v>HOT SPICY SAUCE</v>
          </cell>
          <cell r="B151" t="str">
            <v>GR</v>
          </cell>
          <cell r="E151">
            <v>130.42500000000001</v>
          </cell>
        </row>
        <row r="152">
          <cell r="A152" t="str">
            <v>HOT SPICY SAUCE</v>
          </cell>
          <cell r="B152" t="str">
            <v>PACK @1KG</v>
          </cell>
          <cell r="E152">
            <v>130425</v>
          </cell>
        </row>
        <row r="153">
          <cell r="A153" t="str">
            <v>KEWPIE CHEF STYLE MAYO</v>
          </cell>
          <cell r="B153" t="str">
            <v>GR</v>
          </cell>
          <cell r="E153">
            <v>48.333300000000001</v>
          </cell>
        </row>
        <row r="154">
          <cell r="A154" t="str">
            <v>KEWPIE CHEF STYLE MAYO</v>
          </cell>
          <cell r="B154" t="str">
            <v>Pack @3000</v>
          </cell>
          <cell r="E154">
            <v>144999.9</v>
          </cell>
        </row>
        <row r="155">
          <cell r="A155" t="str">
            <v>GLASS NOODLE</v>
          </cell>
          <cell r="B155" t="str">
            <v>GR</v>
          </cell>
          <cell r="E155">
            <v>46.850700000000003</v>
          </cell>
        </row>
        <row r="156">
          <cell r="A156" t="str">
            <v>GLASS NOODLE</v>
          </cell>
          <cell r="B156" t="str">
            <v>KG</v>
          </cell>
          <cell r="E156">
            <v>46850.7</v>
          </cell>
        </row>
        <row r="157">
          <cell r="A157" t="str">
            <v>GLASS NOODLE</v>
          </cell>
          <cell r="B157" t="str">
            <v>CTN @14Kg</v>
          </cell>
          <cell r="E157">
            <v>655909.80000000005</v>
          </cell>
        </row>
        <row r="158">
          <cell r="A158" t="str">
            <v>LEMON</v>
          </cell>
          <cell r="B158" t="str">
            <v>GR</v>
          </cell>
          <cell r="E158">
            <v>35</v>
          </cell>
        </row>
        <row r="159">
          <cell r="A159" t="str">
            <v>LEMON</v>
          </cell>
          <cell r="B159" t="str">
            <v>KG</v>
          </cell>
          <cell r="E159">
            <v>35000</v>
          </cell>
        </row>
        <row r="160">
          <cell r="A160" t="str">
            <v>LEMON SYRUP (1 L)</v>
          </cell>
          <cell r="B160" t="str">
            <v>ML</v>
          </cell>
          <cell r="E160">
            <v>80</v>
          </cell>
        </row>
        <row r="161">
          <cell r="A161" t="str">
            <v>LEMON SYRUP (1 L)</v>
          </cell>
          <cell r="B161" t="str">
            <v>L</v>
          </cell>
          <cell r="E161">
            <v>80000</v>
          </cell>
        </row>
        <row r="162">
          <cell r="A162" t="str">
            <v>LID CUP #14 FLAT</v>
          </cell>
          <cell r="B162" t="str">
            <v>PCS</v>
          </cell>
          <cell r="E162">
            <v>208</v>
          </cell>
        </row>
        <row r="163">
          <cell r="A163" t="str">
            <v>LID CUP #14 FLAT</v>
          </cell>
          <cell r="B163" t="str">
            <v>CTN @1000</v>
          </cell>
          <cell r="E163">
            <v>208000</v>
          </cell>
        </row>
        <row r="164">
          <cell r="A164" t="str">
            <v>LID CUP PAPER #8</v>
          </cell>
          <cell r="B164" t="str">
            <v>PCS</v>
          </cell>
          <cell r="E164">
            <v>300</v>
          </cell>
        </row>
        <row r="165">
          <cell r="A165" t="str">
            <v>LID CUP PAPER #8</v>
          </cell>
          <cell r="B165" t="str">
            <v>PACK @25</v>
          </cell>
          <cell r="E165">
            <v>7500</v>
          </cell>
        </row>
        <row r="166">
          <cell r="A166" t="str">
            <v>LID CUP PAPER #8</v>
          </cell>
          <cell r="B166" t="str">
            <v>CTN @500</v>
          </cell>
          <cell r="E166">
            <v>150000</v>
          </cell>
        </row>
        <row r="167">
          <cell r="A167" t="str">
            <v>MALA HOT SAUCE</v>
          </cell>
          <cell r="B167" t="str">
            <v>GR</v>
          </cell>
          <cell r="E167">
            <v>99.07</v>
          </cell>
        </row>
        <row r="168">
          <cell r="A168" t="str">
            <v>MALA HOT SAUCE</v>
          </cell>
          <cell r="B168" t="str">
            <v>PACK @2KG</v>
          </cell>
          <cell r="E168">
            <v>198140</v>
          </cell>
        </row>
        <row r="169">
          <cell r="A169" t="str">
            <v>MALA HOT SAUCE</v>
          </cell>
          <cell r="B169" t="str">
            <v>CTN @12KG</v>
          </cell>
          <cell r="E169">
            <v>1188840</v>
          </cell>
        </row>
        <row r="170">
          <cell r="A170" t="str">
            <v>MANDU BEEF BULGOGI</v>
          </cell>
          <cell r="B170" t="str">
            <v>GR</v>
          </cell>
          <cell r="E170">
            <v>82.14</v>
          </cell>
        </row>
        <row r="171">
          <cell r="A171" t="str">
            <v>MANDU BEEF BULGOGI</v>
          </cell>
          <cell r="B171" t="str">
            <v>PACK @1KG</v>
          </cell>
          <cell r="E171">
            <v>82140</v>
          </cell>
        </row>
        <row r="172">
          <cell r="A172" t="str">
            <v>MANDU CHICKEN</v>
          </cell>
          <cell r="B172" t="str">
            <v>GR</v>
          </cell>
          <cell r="E172">
            <v>68.819999999999993</v>
          </cell>
        </row>
        <row r="173">
          <cell r="A173" t="str">
            <v>MANDU CHICKEN</v>
          </cell>
          <cell r="B173" t="str">
            <v>PACK @1KG</v>
          </cell>
          <cell r="E173">
            <v>68820</v>
          </cell>
        </row>
        <row r="174">
          <cell r="A174" t="str">
            <v>MARINADE POWDER MIX</v>
          </cell>
          <cell r="B174" t="str">
            <v>GR</v>
          </cell>
          <cell r="E174">
            <v>100.59</v>
          </cell>
        </row>
        <row r="175">
          <cell r="A175" t="str">
            <v>MARINADE POWDER MIX</v>
          </cell>
          <cell r="B175" t="str">
            <v>PACK @1KG</v>
          </cell>
          <cell r="E175">
            <v>100590</v>
          </cell>
        </row>
        <row r="176">
          <cell r="A176" t="str">
            <v>MARINADE POWDER MIX</v>
          </cell>
          <cell r="B176" t="str">
            <v>CTN @20KG</v>
          </cell>
          <cell r="E176">
            <v>2011800</v>
          </cell>
        </row>
        <row r="177">
          <cell r="A177" t="str">
            <v>MAYONES</v>
          </cell>
          <cell r="B177" t="str">
            <v>GR</v>
          </cell>
          <cell r="E177">
            <v>52.17</v>
          </cell>
        </row>
        <row r="178">
          <cell r="A178" t="str">
            <v>MAYONES</v>
          </cell>
          <cell r="B178" t="str">
            <v>PACK @1KG</v>
          </cell>
          <cell r="E178">
            <v>52170</v>
          </cell>
        </row>
        <row r="179">
          <cell r="A179" t="str">
            <v>MAYONES</v>
          </cell>
          <cell r="B179" t="str">
            <v>CTN @12PACK</v>
          </cell>
          <cell r="E179">
            <v>626040</v>
          </cell>
        </row>
        <row r="180">
          <cell r="A180" t="str">
            <v>MILKIS ORIGINAL</v>
          </cell>
          <cell r="B180" t="str">
            <v>CAN</v>
          </cell>
          <cell r="E180">
            <v>11000</v>
          </cell>
        </row>
        <row r="181">
          <cell r="A181" t="str">
            <v>MINCED GARLIC</v>
          </cell>
          <cell r="B181" t="str">
            <v>GR</v>
          </cell>
          <cell r="E181">
            <v>50</v>
          </cell>
        </row>
        <row r="182">
          <cell r="A182" t="str">
            <v>MINCED GARLIC</v>
          </cell>
          <cell r="B182" t="str">
            <v>KG</v>
          </cell>
          <cell r="E182">
            <v>50000</v>
          </cell>
        </row>
        <row r="183">
          <cell r="A183" t="str">
            <v>MINERAL WATER 330ML</v>
          </cell>
          <cell r="B183" t="str">
            <v>PCS</v>
          </cell>
          <cell r="E183">
            <v>1541.67</v>
          </cell>
        </row>
        <row r="184">
          <cell r="A184" t="str">
            <v>MINERAL WATER 330ML</v>
          </cell>
          <cell r="B184" t="str">
            <v>CTN</v>
          </cell>
          <cell r="E184">
            <v>37000.080000000002</v>
          </cell>
        </row>
        <row r="185">
          <cell r="A185" t="str">
            <v>MINERAL WATER 600ML</v>
          </cell>
          <cell r="B185" t="str">
            <v>PCS</v>
          </cell>
          <cell r="E185">
            <v>1958.3333</v>
          </cell>
        </row>
        <row r="186">
          <cell r="A186" t="str">
            <v>MINERAL WATER 600ML</v>
          </cell>
          <cell r="B186" t="str">
            <v>CTN @24</v>
          </cell>
          <cell r="E186">
            <v>46999.999199999998</v>
          </cell>
        </row>
        <row r="187">
          <cell r="A187" t="str">
            <v>MIRACLE FP</v>
          </cell>
          <cell r="B187" t="str">
            <v>GR</v>
          </cell>
          <cell r="E187">
            <v>156.3784</v>
          </cell>
        </row>
        <row r="188">
          <cell r="A188" t="str">
            <v>MIRACLE FP</v>
          </cell>
          <cell r="B188" t="str">
            <v>PACK</v>
          </cell>
          <cell r="E188">
            <v>21111.083999999999</v>
          </cell>
        </row>
        <row r="189">
          <cell r="A189" t="str">
            <v>MOZARELLA STICK</v>
          </cell>
          <cell r="B189" t="str">
            <v>GR</v>
          </cell>
          <cell r="E189">
            <v>130</v>
          </cell>
        </row>
        <row r="190">
          <cell r="A190" t="str">
            <v>MOZARELLA STICK</v>
          </cell>
          <cell r="B190" t="str">
            <v>KG</v>
          </cell>
          <cell r="E190">
            <v>130000</v>
          </cell>
        </row>
        <row r="191">
          <cell r="A191" t="str">
            <v>MOZARELLA STICK</v>
          </cell>
          <cell r="B191" t="str">
            <v>PACK @2KG</v>
          </cell>
          <cell r="E191">
            <v>260000</v>
          </cell>
        </row>
        <row r="192">
          <cell r="A192" t="str">
            <v>MSG(AJINOMOTO)</v>
          </cell>
          <cell r="B192" t="str">
            <v>GR</v>
          </cell>
          <cell r="E192">
            <v>52.4</v>
          </cell>
        </row>
        <row r="193">
          <cell r="A193" t="str">
            <v>MSG(AJINOMOTO)</v>
          </cell>
          <cell r="B193" t="str">
            <v>KG</v>
          </cell>
          <cell r="E193">
            <v>52400</v>
          </cell>
        </row>
        <row r="194">
          <cell r="A194" t="str">
            <v>NESCAFE CLASIC</v>
          </cell>
          <cell r="B194" t="str">
            <v>GR</v>
          </cell>
          <cell r="E194">
            <v>375</v>
          </cell>
        </row>
        <row r="195">
          <cell r="A195" t="str">
            <v>NESCAFE CLASIC</v>
          </cell>
          <cell r="B195" t="str">
            <v>PACK @120</v>
          </cell>
          <cell r="E195">
            <v>45000</v>
          </cell>
        </row>
        <row r="196">
          <cell r="A196" t="str">
            <v>NESCAFE LATTE</v>
          </cell>
          <cell r="B196" t="str">
            <v>GR</v>
          </cell>
          <cell r="E196">
            <v>120.6</v>
          </cell>
        </row>
        <row r="197">
          <cell r="A197" t="str">
            <v>NESCAFE LATTE</v>
          </cell>
          <cell r="B197" t="str">
            <v>PACK @500</v>
          </cell>
          <cell r="E197">
            <v>60300</v>
          </cell>
        </row>
        <row r="198">
          <cell r="A198" t="str">
            <v>NUTS HOLIC ALMOND BANANA</v>
          </cell>
          <cell r="B198" t="str">
            <v>PCS</v>
          </cell>
          <cell r="E198">
            <v>52170</v>
          </cell>
        </row>
        <row r="199">
          <cell r="A199" t="str">
            <v>NUTS HOLIC ALMOND HONEY BUTTER</v>
          </cell>
          <cell r="B199" t="str">
            <v>PCS</v>
          </cell>
          <cell r="E199">
            <v>52170</v>
          </cell>
        </row>
        <row r="200">
          <cell r="A200" t="str">
            <v>NUTS HOLIC ALMOND HOT &amp; SPICY</v>
          </cell>
          <cell r="B200" t="str">
            <v>PCS</v>
          </cell>
          <cell r="E200">
            <v>52170</v>
          </cell>
        </row>
        <row r="201">
          <cell r="A201" t="str">
            <v>NUTS HOLIC ALMOND KIMCHI</v>
          </cell>
          <cell r="B201" t="str">
            <v>PCS</v>
          </cell>
          <cell r="E201">
            <v>52170</v>
          </cell>
        </row>
        <row r="202">
          <cell r="A202" t="str">
            <v>NUTS HOLIC ALMOND STRAWBERRY</v>
          </cell>
          <cell r="B202" t="str">
            <v>PCS</v>
          </cell>
          <cell r="E202">
            <v>52170</v>
          </cell>
        </row>
        <row r="203">
          <cell r="A203" t="str">
            <v>NUTS HOLIC ALMOND WASABI</v>
          </cell>
          <cell r="B203" t="str">
            <v>PCS</v>
          </cell>
          <cell r="E203">
            <v>52170</v>
          </cell>
        </row>
        <row r="204">
          <cell r="A204" t="str">
            <v>OREO CRUMBLE</v>
          </cell>
          <cell r="B204" t="str">
            <v>GR</v>
          </cell>
          <cell r="E204">
            <v>154.69999999999999</v>
          </cell>
        </row>
        <row r="205">
          <cell r="A205" t="str">
            <v>OREO CRUMBLE</v>
          </cell>
          <cell r="B205" t="str">
            <v>KG</v>
          </cell>
          <cell r="E205">
            <v>154700</v>
          </cell>
        </row>
        <row r="206">
          <cell r="A206" t="str">
            <v>OYSTER SAUCE</v>
          </cell>
          <cell r="B206" t="str">
            <v>GR</v>
          </cell>
          <cell r="E206">
            <v>70.780500000000004</v>
          </cell>
        </row>
        <row r="207">
          <cell r="A207" t="str">
            <v>OYSTER SAUCE</v>
          </cell>
          <cell r="B207" t="str">
            <v>BOTOL @770</v>
          </cell>
          <cell r="E207">
            <v>54500.985000000001</v>
          </cell>
        </row>
        <row r="208">
          <cell r="A208" t="str">
            <v>PAPER BAG (SMALL) PUTIH LOGO (MASKOINDO)</v>
          </cell>
          <cell r="B208" t="str">
            <v>PACK @50PCS</v>
          </cell>
          <cell r="E208">
            <v>187500</v>
          </cell>
        </row>
        <row r="209">
          <cell r="A209" t="str">
            <v>PAPER BAG (SMALL) PUTIH LOGO (MASKOINDO)</v>
          </cell>
          <cell r="B209" t="str">
            <v>PCS</v>
          </cell>
          <cell r="E209">
            <v>3750</v>
          </cell>
        </row>
        <row r="210">
          <cell r="A210" t="str">
            <v>PAPER BAG BIG COKLAT (LOGO)</v>
          </cell>
          <cell r="B210" t="str">
            <v>PCS</v>
          </cell>
          <cell r="E210">
            <v>1700</v>
          </cell>
        </row>
        <row r="211">
          <cell r="A211" t="str">
            <v>PAPER BAG BIG COKLAT (LOGO)</v>
          </cell>
          <cell r="B211" t="str">
            <v>CTN @150</v>
          </cell>
          <cell r="E211">
            <v>255000</v>
          </cell>
        </row>
        <row r="212">
          <cell r="A212" t="str">
            <v>PAPER BAG SMALL COKLAT (LOGO)</v>
          </cell>
          <cell r="B212" t="str">
            <v>PCS</v>
          </cell>
          <cell r="E212">
            <v>1370</v>
          </cell>
        </row>
        <row r="213">
          <cell r="A213" t="str">
            <v>PAPER BAG SMALL COKLAT (LOGO)</v>
          </cell>
          <cell r="B213" t="str">
            <v>CTN @250</v>
          </cell>
          <cell r="E213">
            <v>342500</v>
          </cell>
        </row>
        <row r="214">
          <cell r="A214" t="str">
            <v>PAPER BOWL PACKAGE (500ML)</v>
          </cell>
          <cell r="B214" t="str">
            <v>PCS</v>
          </cell>
          <cell r="E214">
            <v>1164</v>
          </cell>
        </row>
        <row r="215">
          <cell r="A215" t="str">
            <v>PAPER BOWL PACKAGE (500ML)</v>
          </cell>
          <cell r="B215" t="str">
            <v>PACK @25</v>
          </cell>
          <cell r="E215">
            <v>29100</v>
          </cell>
        </row>
        <row r="216">
          <cell r="A216" t="str">
            <v>PAPER BOWL PACKAGE (500ML)</v>
          </cell>
          <cell r="B216" t="str">
            <v>CTN @500</v>
          </cell>
          <cell r="E216">
            <v>582000</v>
          </cell>
        </row>
        <row r="217">
          <cell r="A217" t="str">
            <v>PAPER BOWL PACKAGE (500ML) LID</v>
          </cell>
          <cell r="B217" t="str">
            <v>PACK @25</v>
          </cell>
          <cell r="E217">
            <v>10700</v>
          </cell>
        </row>
        <row r="218">
          <cell r="A218" t="str">
            <v>PAPER BOWL PACKAGE (500ML) LID</v>
          </cell>
          <cell r="B218" t="str">
            <v>CTN @250</v>
          </cell>
          <cell r="E218">
            <v>107000</v>
          </cell>
        </row>
        <row r="219">
          <cell r="A219" t="str">
            <v>PAPER BOWL PACKAGE (500ML) LID</v>
          </cell>
          <cell r="B219" t="str">
            <v>CTN @500</v>
          </cell>
          <cell r="E219">
            <v>214000</v>
          </cell>
        </row>
        <row r="220">
          <cell r="A220" t="str">
            <v>PAPER BOWL PACKAGE (500ML) LID</v>
          </cell>
          <cell r="B220" t="str">
            <v>PCS</v>
          </cell>
          <cell r="E220">
            <v>428</v>
          </cell>
        </row>
        <row r="221">
          <cell r="A221" t="str">
            <v>PAPERBOWL CUPBAP #720</v>
          </cell>
          <cell r="B221" t="str">
            <v>PCS</v>
          </cell>
          <cell r="E221">
            <v>1406</v>
          </cell>
        </row>
        <row r="222">
          <cell r="A222" t="str">
            <v>PAPERBOWL CUPBAP #720</v>
          </cell>
          <cell r="B222" t="str">
            <v>CTN @500</v>
          </cell>
          <cell r="E222">
            <v>703000</v>
          </cell>
        </row>
        <row r="223">
          <cell r="A223" t="str">
            <v>PAPERBOWL CUPBAP #720 LID</v>
          </cell>
          <cell r="B223" t="str">
            <v>PCS</v>
          </cell>
          <cell r="E223">
            <v>543</v>
          </cell>
        </row>
        <row r="224">
          <cell r="A224" t="str">
            <v>PAPERBOWL CUPBAP #720 LID</v>
          </cell>
          <cell r="B224" t="str">
            <v>CTN @500</v>
          </cell>
          <cell r="E224">
            <v>271500</v>
          </cell>
        </row>
        <row r="225">
          <cell r="A225" t="str">
            <v>PARCHMENT PAPER / WRAPPING RICE</v>
          </cell>
          <cell r="B225" t="str">
            <v>PCS</v>
          </cell>
          <cell r="E225">
            <v>231</v>
          </cell>
        </row>
        <row r="226">
          <cell r="A226" t="str">
            <v>PARCHMENT PAPER / WRAPPING RICE</v>
          </cell>
          <cell r="B226" t="str">
            <v>CTN @3000</v>
          </cell>
          <cell r="E226">
            <v>693000</v>
          </cell>
        </row>
        <row r="227">
          <cell r="A227" t="str">
            <v>PICKLE SOLUTION POWDER MIX</v>
          </cell>
          <cell r="B227" t="str">
            <v>GR</v>
          </cell>
          <cell r="E227">
            <v>56.26</v>
          </cell>
        </row>
        <row r="228">
          <cell r="A228" t="str">
            <v>PICKLE SOLUTION POWDER MIX</v>
          </cell>
          <cell r="B228" t="str">
            <v>PACK @2KG</v>
          </cell>
          <cell r="E228">
            <v>112520</v>
          </cell>
        </row>
        <row r="229">
          <cell r="A229" t="str">
            <v>PICKLE SOLUTION POWDER MIX</v>
          </cell>
          <cell r="B229" t="str">
            <v>CTN @20KG</v>
          </cell>
          <cell r="E229">
            <v>1125200</v>
          </cell>
        </row>
        <row r="230">
          <cell r="A230" t="str">
            <v>PLASTIK SAMPAH 60*100</v>
          </cell>
          <cell r="B230" t="str">
            <v>PACK</v>
          </cell>
          <cell r="E230">
            <v>14000</v>
          </cell>
        </row>
        <row r="231">
          <cell r="A231" t="str">
            <v>PLASTIK SAMPAH 90*120</v>
          </cell>
          <cell r="B231" t="str">
            <v>PACK</v>
          </cell>
          <cell r="E231">
            <v>14000</v>
          </cell>
        </row>
        <row r="232">
          <cell r="A232" t="str">
            <v>PLASTIK SAMPAH LDPE 60 X 100 (BENING)</v>
          </cell>
          <cell r="B232" t="str">
            <v>PACK</v>
          </cell>
          <cell r="E232">
            <v>35000</v>
          </cell>
        </row>
        <row r="233">
          <cell r="A233" t="str">
            <v>PLASTIK SAMPAH LDPE 90 X 120 (BURAM)</v>
          </cell>
          <cell r="B233" t="str">
            <v>PACK</v>
          </cell>
          <cell r="E233">
            <v>35000</v>
          </cell>
        </row>
        <row r="234">
          <cell r="A234" t="str">
            <v>POLOSHIRT BBQ UK 2XL</v>
          </cell>
          <cell r="B234" t="str">
            <v>PCS</v>
          </cell>
          <cell r="E234">
            <v>0</v>
          </cell>
        </row>
        <row r="235">
          <cell r="A235" t="str">
            <v>POLOSHIRT BBQ UK L</v>
          </cell>
          <cell r="B235" t="str">
            <v>PCS</v>
          </cell>
          <cell r="E235">
            <v>0</v>
          </cell>
        </row>
        <row r="236">
          <cell r="A236" t="str">
            <v>POLOSHIRT BBQ UK M</v>
          </cell>
          <cell r="B236" t="str">
            <v>PCS</v>
          </cell>
          <cell r="E236">
            <v>0</v>
          </cell>
        </row>
        <row r="237">
          <cell r="A237" t="str">
            <v>POLOSHIRT BBQ UK XL</v>
          </cell>
          <cell r="B237" t="str">
            <v>PCS</v>
          </cell>
          <cell r="E237">
            <v>0</v>
          </cell>
        </row>
        <row r="238">
          <cell r="A238" t="str">
            <v>QUAT SANITIZER</v>
          </cell>
          <cell r="B238" t="str">
            <v>DRG @5L</v>
          </cell>
          <cell r="E238">
            <v>140000</v>
          </cell>
        </row>
        <row r="239">
          <cell r="A239" t="str">
            <v>RICE</v>
          </cell>
          <cell r="B239" t="str">
            <v>BAG @25KG</v>
          </cell>
          <cell r="E239">
            <v>367500</v>
          </cell>
        </row>
        <row r="240">
          <cell r="A240" t="str">
            <v>RICE</v>
          </cell>
          <cell r="B240" t="str">
            <v>GR</v>
          </cell>
          <cell r="E240">
            <v>14.7</v>
          </cell>
        </row>
        <row r="241">
          <cell r="A241" t="str">
            <v>RICE</v>
          </cell>
          <cell r="B241" t="str">
            <v>KG</v>
          </cell>
          <cell r="E241">
            <v>14700</v>
          </cell>
        </row>
        <row r="242">
          <cell r="A242" t="str">
            <v>RICE</v>
          </cell>
          <cell r="B242" t="str">
            <v>PACK @5KG</v>
          </cell>
          <cell r="E242">
            <v>73500</v>
          </cell>
        </row>
        <row r="243">
          <cell r="A243" t="str">
            <v>RICE</v>
          </cell>
          <cell r="B243" t="str">
            <v>BAG @20KG</v>
          </cell>
          <cell r="E243">
            <v>294000</v>
          </cell>
        </row>
        <row r="244">
          <cell r="A244" t="str">
            <v>RICE CAKE</v>
          </cell>
          <cell r="B244" t="str">
            <v>GR</v>
          </cell>
          <cell r="E244">
            <v>53.465000000000003</v>
          </cell>
        </row>
        <row r="245">
          <cell r="A245" t="str">
            <v>RICE CAKE</v>
          </cell>
          <cell r="B245" t="str">
            <v>PACK @300GR</v>
          </cell>
          <cell r="E245">
            <v>16039.5</v>
          </cell>
        </row>
        <row r="246">
          <cell r="A246" t="str">
            <v>RICE CAKE</v>
          </cell>
          <cell r="B246" t="str">
            <v>KG</v>
          </cell>
          <cell r="E246">
            <v>53465</v>
          </cell>
        </row>
        <row r="247">
          <cell r="A247" t="str">
            <v>ROUND SAUCE #35ML</v>
          </cell>
          <cell r="B247" t="str">
            <v>PCS</v>
          </cell>
          <cell r="E247">
            <v>200</v>
          </cell>
        </row>
        <row r="248">
          <cell r="A248" t="str">
            <v>ROUND SAUCE #35ML</v>
          </cell>
          <cell r="B248" t="str">
            <v>PACK @50PCS</v>
          </cell>
          <cell r="E248">
            <v>10000</v>
          </cell>
        </row>
        <row r="249">
          <cell r="A249" t="str">
            <v>SALT</v>
          </cell>
          <cell r="B249" t="str">
            <v>GR</v>
          </cell>
          <cell r="E249">
            <v>16.5</v>
          </cell>
        </row>
        <row r="250">
          <cell r="A250" t="str">
            <v>SALT</v>
          </cell>
          <cell r="B250" t="str">
            <v>KG</v>
          </cell>
          <cell r="E250">
            <v>16500</v>
          </cell>
        </row>
        <row r="251">
          <cell r="A251" t="str">
            <v>SCALLION(GREEN ONION)</v>
          </cell>
          <cell r="B251" t="str">
            <v>GR</v>
          </cell>
          <cell r="E251">
            <v>28</v>
          </cell>
        </row>
        <row r="252">
          <cell r="A252" t="str">
            <v>SCALLION(GREEN ONION)</v>
          </cell>
          <cell r="B252" t="str">
            <v>KG</v>
          </cell>
          <cell r="E252">
            <v>28000</v>
          </cell>
        </row>
        <row r="253">
          <cell r="A253" t="str">
            <v>SENDOK SUNDAE</v>
          </cell>
          <cell r="B253" t="str">
            <v>PCS</v>
          </cell>
          <cell r="E253">
            <v>150</v>
          </cell>
        </row>
        <row r="254">
          <cell r="A254" t="str">
            <v>SESAME SEEDS</v>
          </cell>
          <cell r="B254" t="str">
            <v>GR</v>
          </cell>
          <cell r="E254">
            <v>76.59</v>
          </cell>
        </row>
        <row r="255">
          <cell r="A255" t="str">
            <v>SESAME SEEDS</v>
          </cell>
          <cell r="B255" t="str">
            <v>KG</v>
          </cell>
          <cell r="E255">
            <v>76590</v>
          </cell>
        </row>
        <row r="256">
          <cell r="A256" t="str">
            <v>SOFT SERVE VANILLA</v>
          </cell>
          <cell r="B256" t="str">
            <v>PACK @1KG</v>
          </cell>
          <cell r="E256">
            <v>138750</v>
          </cell>
        </row>
        <row r="257">
          <cell r="A257" t="str">
            <v>SOFT SERVE VANILLA</v>
          </cell>
          <cell r="B257" t="str">
            <v>GR</v>
          </cell>
          <cell r="E257">
            <v>138.75</v>
          </cell>
        </row>
        <row r="258">
          <cell r="A258" t="str">
            <v>SOFT SERVER CHOCO</v>
          </cell>
          <cell r="B258" t="str">
            <v>GR</v>
          </cell>
          <cell r="E258">
            <v>138.75</v>
          </cell>
        </row>
        <row r="259">
          <cell r="A259" t="str">
            <v>SOFT SERVER CHOCO</v>
          </cell>
          <cell r="B259" t="str">
            <v>PACK @1KG</v>
          </cell>
          <cell r="E259">
            <v>138750</v>
          </cell>
        </row>
        <row r="260">
          <cell r="A260" t="str">
            <v>SOSIS BAKAR (CHICKEN)</v>
          </cell>
          <cell r="B260" t="str">
            <v>GR</v>
          </cell>
          <cell r="E260">
            <v>50</v>
          </cell>
        </row>
        <row r="261">
          <cell r="A261" t="str">
            <v>SOSIS BAKAR (CHICKEN)</v>
          </cell>
          <cell r="B261" t="str">
            <v>PACK @500</v>
          </cell>
          <cell r="E261">
            <v>25000</v>
          </cell>
        </row>
        <row r="262">
          <cell r="A262" t="str">
            <v>SOY SAUCE</v>
          </cell>
          <cell r="B262" t="str">
            <v>GR</v>
          </cell>
          <cell r="E262">
            <v>13.2583</v>
          </cell>
        </row>
        <row r="263">
          <cell r="A263" t="str">
            <v>SOY SAUCE</v>
          </cell>
          <cell r="B263" t="str">
            <v>KG</v>
          </cell>
          <cell r="E263">
            <v>13258.3</v>
          </cell>
        </row>
        <row r="264">
          <cell r="A264" t="str">
            <v>SOY SAUCE</v>
          </cell>
          <cell r="B264" t="str">
            <v>DRG @6</v>
          </cell>
          <cell r="E264">
            <v>79549.8</v>
          </cell>
        </row>
        <row r="265">
          <cell r="A265" t="str">
            <v>SOY SAUCE</v>
          </cell>
          <cell r="B265" t="str">
            <v>PACK @500</v>
          </cell>
          <cell r="E265">
            <v>6629.15</v>
          </cell>
        </row>
        <row r="266">
          <cell r="A266" t="str">
            <v>SPRITE BIB 10L</v>
          </cell>
          <cell r="B266" t="str">
            <v>ML</v>
          </cell>
          <cell r="E266">
            <v>70</v>
          </cell>
        </row>
        <row r="267">
          <cell r="A267" t="str">
            <v>SPRITE BIB 10L</v>
          </cell>
          <cell r="B267" t="str">
            <v>CTN @10L</v>
          </cell>
          <cell r="E267">
            <v>700000</v>
          </cell>
        </row>
        <row r="268">
          <cell r="A268" t="str">
            <v>SPRITE CAN 250ML</v>
          </cell>
          <cell r="B268" t="str">
            <v>CTN @24</v>
          </cell>
          <cell r="E268">
            <v>111550.00079999999</v>
          </cell>
        </row>
        <row r="269">
          <cell r="A269" t="str">
            <v>SPRITE CAN 250ML</v>
          </cell>
          <cell r="B269" t="str">
            <v>CAN</v>
          </cell>
          <cell r="E269">
            <v>4647.9166999999998</v>
          </cell>
        </row>
        <row r="270">
          <cell r="A270" t="str">
            <v>STRAW PLASTIK 20 CM</v>
          </cell>
          <cell r="B270" t="str">
            <v>PACK</v>
          </cell>
          <cell r="E270">
            <v>2800</v>
          </cell>
        </row>
        <row r="271">
          <cell r="A271" t="str">
            <v>STRAW PLASTIK 20 CM</v>
          </cell>
          <cell r="B271" t="str">
            <v>CTN @40</v>
          </cell>
          <cell r="E271">
            <v>112000</v>
          </cell>
        </row>
        <row r="272">
          <cell r="A272" t="str">
            <v>STRAW PLASTIK 24 CM</v>
          </cell>
          <cell r="B272" t="str">
            <v>PCS</v>
          </cell>
          <cell r="E272">
            <v>35</v>
          </cell>
        </row>
        <row r="273">
          <cell r="A273" t="str">
            <v>STRAW PLASTIK 24 CM</v>
          </cell>
          <cell r="B273" t="str">
            <v>PACK @500</v>
          </cell>
          <cell r="E273">
            <v>17500</v>
          </cell>
        </row>
        <row r="274">
          <cell r="A274" t="str">
            <v>T-SHIRT BBQ UK 2XL</v>
          </cell>
          <cell r="B274" t="str">
            <v>PCS</v>
          </cell>
          <cell r="E274">
            <v>0</v>
          </cell>
        </row>
        <row r="275">
          <cell r="A275" t="str">
            <v>T-SHIRT BBQ UK L</v>
          </cell>
          <cell r="B275" t="str">
            <v>PCS</v>
          </cell>
          <cell r="E275">
            <v>0</v>
          </cell>
        </row>
        <row r="276">
          <cell r="A276" t="str">
            <v>T-SHIRT BBQ UK M</v>
          </cell>
          <cell r="B276" t="str">
            <v>PCS</v>
          </cell>
          <cell r="E276">
            <v>0</v>
          </cell>
        </row>
        <row r="277">
          <cell r="A277" t="str">
            <v>T-SHIRT BBQ UK S</v>
          </cell>
          <cell r="B277" t="str">
            <v>PCS</v>
          </cell>
          <cell r="E277">
            <v>0</v>
          </cell>
        </row>
        <row r="278">
          <cell r="A278" t="str">
            <v>T-SHIRT BBQ UK XL</v>
          </cell>
          <cell r="B278" t="str">
            <v>PCS</v>
          </cell>
          <cell r="E278">
            <v>0</v>
          </cell>
        </row>
        <row r="279">
          <cell r="A279" t="str">
            <v>TAS SPUNBOND</v>
          </cell>
          <cell r="B279" t="str">
            <v>PCS</v>
          </cell>
          <cell r="E279">
            <v>2400</v>
          </cell>
        </row>
        <row r="280">
          <cell r="A280" t="str">
            <v>TAS SPUNBOND</v>
          </cell>
          <cell r="B280" t="str">
            <v>PACK @50</v>
          </cell>
          <cell r="E280">
            <v>120000</v>
          </cell>
        </row>
        <row r="281">
          <cell r="A281" t="str">
            <v>EGG</v>
          </cell>
          <cell r="B281" t="str">
            <v>GR</v>
          </cell>
          <cell r="E281">
            <v>32</v>
          </cell>
        </row>
        <row r="282">
          <cell r="A282" t="str">
            <v>EGG</v>
          </cell>
          <cell r="B282" t="str">
            <v>KG</v>
          </cell>
          <cell r="E282">
            <v>32000</v>
          </cell>
        </row>
        <row r="283">
          <cell r="A283" t="str">
            <v>TISUE DAPUR</v>
          </cell>
          <cell r="B283" t="str">
            <v>PACK</v>
          </cell>
          <cell r="E283">
            <v>7916.67</v>
          </cell>
        </row>
        <row r="284">
          <cell r="A284" t="str">
            <v>TISUE DAPUR</v>
          </cell>
          <cell r="B284" t="str">
            <v>CTN @12</v>
          </cell>
          <cell r="E284">
            <v>95000.04</v>
          </cell>
        </row>
        <row r="285">
          <cell r="A285" t="str">
            <v>TISUE DAPUR</v>
          </cell>
          <cell r="B285" t="str">
            <v>CTN @24</v>
          </cell>
          <cell r="E285">
            <v>190000.08</v>
          </cell>
        </row>
        <row r="286">
          <cell r="A286" t="str">
            <v>TISUE LIVI KOTAK</v>
          </cell>
          <cell r="B286" t="str">
            <v>PACK</v>
          </cell>
          <cell r="E286">
            <v>3328.15</v>
          </cell>
        </row>
        <row r="287">
          <cell r="A287" t="str">
            <v>TISUE LIVI KOTAK</v>
          </cell>
          <cell r="B287" t="str">
            <v>CTN @60</v>
          </cell>
          <cell r="E287">
            <v>199689</v>
          </cell>
        </row>
        <row r="288">
          <cell r="A288" t="str">
            <v>TOPI KITCHEN</v>
          </cell>
          <cell r="B288" t="str">
            <v>PCS</v>
          </cell>
          <cell r="E288">
            <v>0</v>
          </cell>
        </row>
        <row r="289">
          <cell r="A289" t="str">
            <v>TOPI SERVER</v>
          </cell>
          <cell r="B289" t="str">
            <v>PCS</v>
          </cell>
          <cell r="E289">
            <v>0</v>
          </cell>
        </row>
        <row r="290">
          <cell r="A290" t="str">
            <v>WHITE SUGAR</v>
          </cell>
          <cell r="B290" t="str">
            <v>GR</v>
          </cell>
          <cell r="E290">
            <v>21</v>
          </cell>
        </row>
        <row r="291">
          <cell r="A291" t="str">
            <v>WHITE SUGAR</v>
          </cell>
          <cell r="B291" t="str">
            <v>KG</v>
          </cell>
          <cell r="E291">
            <v>21000</v>
          </cell>
        </row>
        <row r="292">
          <cell r="A292" t="str">
            <v>WIP - BATTERING POWDER MIX C SOLUTION(YELLOW)</v>
          </cell>
          <cell r="B292" t="str">
            <v>GR</v>
          </cell>
          <cell r="E292">
            <v>28.2286</v>
          </cell>
        </row>
        <row r="293">
          <cell r="A293" t="str">
            <v>WIP - BATTERING POWDER MIX SOLUTION(WHITE)</v>
          </cell>
          <cell r="B293" t="str">
            <v>GR</v>
          </cell>
          <cell r="E293">
            <v>21.547000000000001</v>
          </cell>
        </row>
        <row r="294">
          <cell r="A294" t="str">
            <v>WIP - CHICKEN WINGS</v>
          </cell>
          <cell r="B294" t="str">
            <v>PCS</v>
          </cell>
          <cell r="E294">
            <v>5006.9444000000003</v>
          </cell>
        </row>
        <row r="295">
          <cell r="A295" t="str">
            <v>WIP - WHOLE CHICKEN</v>
          </cell>
          <cell r="B295" t="str">
            <v>PCS</v>
          </cell>
          <cell r="E295">
            <v>5006.9444000000003</v>
          </cell>
        </row>
        <row r="296">
          <cell r="A296" t="str">
            <v>WIP - WHOLE CHICKEN</v>
          </cell>
          <cell r="B296" t="str">
            <v>Whole</v>
          </cell>
          <cell r="E296">
            <v>45062.499600000003</v>
          </cell>
        </row>
        <row r="297">
          <cell r="A297" t="str">
            <v>WRAPPING</v>
          </cell>
          <cell r="B297" t="str">
            <v>ROLL</v>
          </cell>
          <cell r="E297">
            <v>124950</v>
          </cell>
        </row>
        <row r="298">
          <cell r="A298" t="str">
            <v>YAKULT ORIGINAL</v>
          </cell>
          <cell r="B298" t="str">
            <v>ML</v>
          </cell>
          <cell r="E298">
            <v>27.384599999999999</v>
          </cell>
        </row>
        <row r="299">
          <cell r="A299" t="str">
            <v>YAKULT ORIGINAL</v>
          </cell>
          <cell r="B299" t="str">
            <v>Botol</v>
          </cell>
          <cell r="E299">
            <v>1779.999</v>
          </cell>
        </row>
        <row r="300">
          <cell r="A300" t="str">
            <v>YAKULT ORIGINAL</v>
          </cell>
          <cell r="B300" t="str">
            <v>Pack @5</v>
          </cell>
          <cell r="E300">
            <v>8899.9950000000008</v>
          </cell>
        </row>
        <row r="301">
          <cell r="A301"/>
          <cell r="B301"/>
          <cell r="E301"/>
        </row>
        <row r="302">
          <cell r="A302"/>
          <cell r="B302"/>
          <cell r="E302"/>
        </row>
        <row r="303">
          <cell r="A303"/>
          <cell r="B303"/>
          <cell r="E303"/>
        </row>
        <row r="304">
          <cell r="A304"/>
          <cell r="B304"/>
          <cell r="E304"/>
        </row>
        <row r="305">
          <cell r="A305"/>
          <cell r="B305"/>
          <cell r="E305"/>
        </row>
        <row r="306">
          <cell r="A306"/>
          <cell r="B306"/>
          <cell r="E306"/>
        </row>
        <row r="307">
          <cell r="A307"/>
          <cell r="B307"/>
          <cell r="E307"/>
        </row>
        <row r="308">
          <cell r="A308"/>
          <cell r="B308"/>
          <cell r="E308"/>
        </row>
        <row r="309">
          <cell r="A309"/>
          <cell r="B309"/>
          <cell r="E309"/>
        </row>
        <row r="310">
          <cell r="A310"/>
          <cell r="B310"/>
          <cell r="E310"/>
        </row>
        <row r="311">
          <cell r="A311"/>
          <cell r="B311"/>
          <cell r="E311"/>
        </row>
        <row r="312">
          <cell r="A312"/>
          <cell r="B312"/>
          <cell r="E312"/>
        </row>
        <row r="313">
          <cell r="A313"/>
          <cell r="B313"/>
          <cell r="E313"/>
        </row>
        <row r="314">
          <cell r="A314"/>
          <cell r="B314"/>
          <cell r="E314"/>
        </row>
        <row r="315">
          <cell r="A315"/>
          <cell r="B315"/>
          <cell r="E315"/>
        </row>
        <row r="316">
          <cell r="A316"/>
          <cell r="B316"/>
          <cell r="E316"/>
        </row>
        <row r="317">
          <cell r="A317"/>
          <cell r="B317"/>
          <cell r="E317"/>
        </row>
        <row r="318">
          <cell r="A318"/>
          <cell r="B318"/>
          <cell r="E318"/>
        </row>
        <row r="319">
          <cell r="A319"/>
          <cell r="B319"/>
          <cell r="E319"/>
        </row>
        <row r="320">
          <cell r="A320"/>
          <cell r="B320"/>
          <cell r="E320"/>
        </row>
        <row r="321">
          <cell r="A321"/>
          <cell r="B321"/>
          <cell r="E321"/>
        </row>
        <row r="322">
          <cell r="A322"/>
          <cell r="B322"/>
          <cell r="E322"/>
        </row>
        <row r="323">
          <cell r="A323"/>
          <cell r="B323"/>
          <cell r="E323"/>
        </row>
        <row r="324">
          <cell r="A324"/>
          <cell r="B324"/>
          <cell r="E324"/>
        </row>
        <row r="325">
          <cell r="A325"/>
          <cell r="B325"/>
          <cell r="E325"/>
        </row>
        <row r="326">
          <cell r="A326"/>
          <cell r="B326"/>
          <cell r="E326"/>
        </row>
        <row r="327">
          <cell r="A327"/>
          <cell r="B327"/>
          <cell r="E327"/>
        </row>
        <row r="328">
          <cell r="A328"/>
          <cell r="B328"/>
          <cell r="E328"/>
        </row>
        <row r="329">
          <cell r="A329"/>
          <cell r="B329"/>
          <cell r="E329"/>
        </row>
        <row r="330">
          <cell r="A330"/>
          <cell r="B330"/>
          <cell r="E330"/>
        </row>
        <row r="331">
          <cell r="A331"/>
          <cell r="B331"/>
          <cell r="E331"/>
        </row>
        <row r="332">
          <cell r="A332"/>
          <cell r="B332"/>
          <cell r="E332"/>
        </row>
        <row r="333">
          <cell r="A333"/>
          <cell r="B333"/>
          <cell r="E333"/>
        </row>
        <row r="334">
          <cell r="A334"/>
          <cell r="B334"/>
          <cell r="E334"/>
        </row>
        <row r="335">
          <cell r="A335"/>
          <cell r="B335"/>
          <cell r="E335"/>
        </row>
        <row r="336">
          <cell r="A336"/>
          <cell r="B336"/>
          <cell r="E336"/>
        </row>
        <row r="337">
          <cell r="A337"/>
          <cell r="B337"/>
          <cell r="E337"/>
        </row>
        <row r="338">
          <cell r="A338"/>
          <cell r="B338"/>
          <cell r="E338"/>
        </row>
        <row r="339">
          <cell r="A339"/>
          <cell r="B339"/>
          <cell r="E339"/>
        </row>
        <row r="340">
          <cell r="A340"/>
          <cell r="B340"/>
          <cell r="E340"/>
        </row>
        <row r="341">
          <cell r="A341"/>
          <cell r="B341"/>
          <cell r="E341"/>
        </row>
        <row r="342">
          <cell r="A342"/>
          <cell r="B342"/>
          <cell r="E342"/>
        </row>
        <row r="343">
          <cell r="A343"/>
          <cell r="B343"/>
          <cell r="E343"/>
        </row>
        <row r="344">
          <cell r="A344"/>
          <cell r="B344"/>
          <cell r="E344"/>
        </row>
        <row r="345">
          <cell r="A345"/>
          <cell r="B345"/>
          <cell r="E345"/>
        </row>
        <row r="346">
          <cell r="A346"/>
          <cell r="B346"/>
          <cell r="E346"/>
        </row>
        <row r="347">
          <cell r="A347"/>
          <cell r="B347"/>
          <cell r="E347"/>
        </row>
        <row r="348">
          <cell r="A348"/>
          <cell r="B348"/>
          <cell r="E348"/>
        </row>
        <row r="349">
          <cell r="A349"/>
          <cell r="B349"/>
          <cell r="E349"/>
        </row>
        <row r="350">
          <cell r="A350"/>
          <cell r="B350"/>
          <cell r="E350"/>
        </row>
        <row r="351">
          <cell r="A351"/>
          <cell r="B351"/>
          <cell r="E351"/>
        </row>
        <row r="352">
          <cell r="A352"/>
          <cell r="B352"/>
          <cell r="E352"/>
        </row>
        <row r="353">
          <cell r="A353"/>
          <cell r="B353"/>
          <cell r="E353"/>
        </row>
        <row r="354">
          <cell r="A354"/>
          <cell r="B354"/>
          <cell r="E354"/>
        </row>
        <row r="355">
          <cell r="A355"/>
          <cell r="B355"/>
          <cell r="E355"/>
        </row>
        <row r="356">
          <cell r="A356"/>
          <cell r="B356"/>
          <cell r="E356"/>
        </row>
        <row r="357">
          <cell r="A357"/>
          <cell r="B357"/>
          <cell r="E357"/>
        </row>
        <row r="358">
          <cell r="A358"/>
          <cell r="B358"/>
          <cell r="E358"/>
        </row>
        <row r="359">
          <cell r="A359"/>
          <cell r="B359"/>
          <cell r="E359"/>
        </row>
        <row r="360">
          <cell r="A360"/>
          <cell r="B360"/>
          <cell r="E360"/>
        </row>
        <row r="361">
          <cell r="A361"/>
          <cell r="B361"/>
          <cell r="E361"/>
        </row>
        <row r="362">
          <cell r="A362"/>
          <cell r="B362"/>
          <cell r="E362"/>
        </row>
        <row r="363">
          <cell r="A363"/>
          <cell r="B363"/>
          <cell r="E363"/>
        </row>
        <row r="364">
          <cell r="A364"/>
          <cell r="B364"/>
          <cell r="E364"/>
        </row>
        <row r="365">
          <cell r="A365"/>
          <cell r="B365"/>
          <cell r="E365"/>
        </row>
        <row r="366">
          <cell r="A366"/>
          <cell r="B366"/>
          <cell r="E366"/>
        </row>
        <row r="367">
          <cell r="A367"/>
          <cell r="B367"/>
          <cell r="E367"/>
        </row>
        <row r="368">
          <cell r="A368"/>
          <cell r="B368"/>
          <cell r="E368"/>
        </row>
        <row r="369">
          <cell r="A369"/>
          <cell r="B369"/>
          <cell r="E369"/>
        </row>
        <row r="370">
          <cell r="A370"/>
          <cell r="B370"/>
          <cell r="E370"/>
        </row>
        <row r="371">
          <cell r="A371"/>
          <cell r="B371"/>
          <cell r="E371"/>
        </row>
        <row r="372">
          <cell r="A372"/>
          <cell r="B372"/>
          <cell r="E372"/>
        </row>
        <row r="373">
          <cell r="A373"/>
          <cell r="B373"/>
          <cell r="E373"/>
        </row>
        <row r="374">
          <cell r="A374"/>
          <cell r="B374"/>
          <cell r="E374"/>
        </row>
        <row r="375">
          <cell r="A375"/>
          <cell r="B375"/>
          <cell r="E375"/>
        </row>
        <row r="376">
          <cell r="A376"/>
          <cell r="B376"/>
          <cell r="E376"/>
        </row>
        <row r="377">
          <cell r="A377"/>
          <cell r="B377"/>
          <cell r="E377"/>
        </row>
        <row r="378">
          <cell r="A378"/>
          <cell r="B378"/>
          <cell r="E378"/>
        </row>
        <row r="379">
          <cell r="A379"/>
          <cell r="B379"/>
          <cell r="E379"/>
        </row>
        <row r="380">
          <cell r="A380"/>
          <cell r="B380"/>
          <cell r="E380"/>
        </row>
        <row r="381">
          <cell r="A381"/>
          <cell r="B381"/>
          <cell r="E381"/>
        </row>
        <row r="382">
          <cell r="A382"/>
          <cell r="B382"/>
          <cell r="E382"/>
        </row>
        <row r="383">
          <cell r="A383"/>
          <cell r="B383"/>
          <cell r="E383"/>
        </row>
        <row r="384">
          <cell r="A384"/>
          <cell r="B384"/>
          <cell r="E384"/>
        </row>
        <row r="385">
          <cell r="A385"/>
          <cell r="B385"/>
          <cell r="E385"/>
        </row>
        <row r="386">
          <cell r="A386"/>
          <cell r="B386"/>
          <cell r="E386"/>
        </row>
        <row r="387">
          <cell r="A387"/>
          <cell r="B387"/>
          <cell r="E387"/>
        </row>
        <row r="388">
          <cell r="A388"/>
          <cell r="B388"/>
          <cell r="E388"/>
        </row>
        <row r="389">
          <cell r="A389"/>
          <cell r="B389"/>
          <cell r="E389"/>
        </row>
        <row r="390">
          <cell r="A390"/>
          <cell r="B390"/>
          <cell r="E390"/>
        </row>
        <row r="391">
          <cell r="A391"/>
          <cell r="B391"/>
          <cell r="E391"/>
        </row>
        <row r="392">
          <cell r="A392"/>
          <cell r="B392"/>
          <cell r="E392"/>
        </row>
        <row r="393">
          <cell r="A393"/>
          <cell r="B393"/>
          <cell r="E393"/>
        </row>
        <row r="394">
          <cell r="A394"/>
          <cell r="B394"/>
          <cell r="E394"/>
        </row>
        <row r="395">
          <cell r="A395"/>
          <cell r="B395"/>
          <cell r="E395"/>
        </row>
        <row r="396">
          <cell r="A396"/>
          <cell r="B396"/>
          <cell r="E396"/>
        </row>
        <row r="397">
          <cell r="A397"/>
          <cell r="B397"/>
          <cell r="E397"/>
        </row>
        <row r="398">
          <cell r="A398"/>
          <cell r="B398"/>
          <cell r="E398"/>
        </row>
        <row r="399">
          <cell r="A399"/>
          <cell r="B399"/>
          <cell r="E399"/>
        </row>
        <row r="400">
          <cell r="A400"/>
          <cell r="B400"/>
          <cell r="E400"/>
        </row>
        <row r="401">
          <cell r="A401"/>
          <cell r="B401"/>
          <cell r="E401"/>
        </row>
        <row r="402">
          <cell r="A402"/>
          <cell r="B402"/>
          <cell r="E402"/>
        </row>
        <row r="403">
          <cell r="A403"/>
          <cell r="B403"/>
          <cell r="E403"/>
        </row>
        <row r="404">
          <cell r="A404"/>
          <cell r="B404"/>
          <cell r="E404"/>
        </row>
        <row r="405">
          <cell r="A405"/>
          <cell r="B405"/>
          <cell r="E405"/>
        </row>
        <row r="406">
          <cell r="A406"/>
          <cell r="B406"/>
          <cell r="E406"/>
        </row>
        <row r="407">
          <cell r="A407"/>
          <cell r="B407"/>
          <cell r="E407"/>
        </row>
        <row r="408">
          <cell r="A408"/>
          <cell r="B408"/>
          <cell r="E408"/>
        </row>
        <row r="409">
          <cell r="A409"/>
          <cell r="B409"/>
          <cell r="E409"/>
        </row>
        <row r="410">
          <cell r="A410"/>
          <cell r="B410"/>
          <cell r="E410"/>
        </row>
        <row r="411">
          <cell r="A411"/>
          <cell r="B411"/>
          <cell r="E411"/>
        </row>
        <row r="412">
          <cell r="A412"/>
          <cell r="B412"/>
          <cell r="E412"/>
        </row>
        <row r="413">
          <cell r="A413"/>
          <cell r="B413"/>
          <cell r="E413"/>
        </row>
        <row r="414">
          <cell r="A414"/>
          <cell r="B414"/>
          <cell r="E414"/>
        </row>
        <row r="415">
          <cell r="A415"/>
          <cell r="B415"/>
          <cell r="E415"/>
        </row>
        <row r="416">
          <cell r="A416"/>
          <cell r="B416"/>
          <cell r="E416"/>
        </row>
        <row r="417">
          <cell r="A417"/>
          <cell r="B417"/>
          <cell r="E417"/>
        </row>
        <row r="418">
          <cell r="A418"/>
          <cell r="B418"/>
          <cell r="E418"/>
        </row>
        <row r="419">
          <cell r="A419"/>
          <cell r="B419"/>
          <cell r="E419"/>
        </row>
        <row r="420">
          <cell r="A420"/>
          <cell r="B420"/>
          <cell r="E420"/>
        </row>
        <row r="421">
          <cell r="A421"/>
          <cell r="B421"/>
          <cell r="E421"/>
        </row>
        <row r="422">
          <cell r="A422"/>
          <cell r="B422"/>
          <cell r="E422"/>
        </row>
        <row r="423">
          <cell r="A423"/>
          <cell r="B423"/>
          <cell r="E423"/>
        </row>
        <row r="424">
          <cell r="A424"/>
          <cell r="B424"/>
          <cell r="E424"/>
        </row>
        <row r="425">
          <cell r="A425"/>
          <cell r="B425"/>
          <cell r="E425"/>
        </row>
        <row r="426">
          <cell r="A426"/>
          <cell r="B426"/>
          <cell r="E426"/>
        </row>
        <row r="427">
          <cell r="A427"/>
          <cell r="B427"/>
          <cell r="E427"/>
        </row>
        <row r="428">
          <cell r="A428"/>
          <cell r="B428"/>
          <cell r="E428"/>
        </row>
        <row r="429">
          <cell r="A429"/>
          <cell r="B429"/>
          <cell r="E429"/>
        </row>
        <row r="430">
          <cell r="A430"/>
          <cell r="B430"/>
          <cell r="E430"/>
        </row>
        <row r="431">
          <cell r="A431"/>
          <cell r="B431"/>
          <cell r="E431"/>
        </row>
        <row r="432">
          <cell r="A432"/>
          <cell r="B432"/>
          <cell r="E432"/>
        </row>
        <row r="433">
          <cell r="A433"/>
          <cell r="B433"/>
          <cell r="E433"/>
        </row>
        <row r="434">
          <cell r="A434"/>
          <cell r="B434"/>
          <cell r="E434"/>
        </row>
        <row r="435">
          <cell r="A435"/>
          <cell r="B435"/>
          <cell r="E435"/>
        </row>
        <row r="436">
          <cell r="A436"/>
          <cell r="B436"/>
          <cell r="E436"/>
        </row>
        <row r="437">
          <cell r="A437"/>
          <cell r="B437"/>
          <cell r="E437"/>
        </row>
        <row r="438">
          <cell r="A438"/>
          <cell r="B438"/>
          <cell r="E438"/>
        </row>
        <row r="439">
          <cell r="A439"/>
          <cell r="B439"/>
          <cell r="E439"/>
        </row>
        <row r="440">
          <cell r="A440"/>
          <cell r="B440"/>
          <cell r="E440"/>
        </row>
        <row r="441">
          <cell r="A441"/>
          <cell r="B441"/>
          <cell r="E441"/>
        </row>
        <row r="442">
          <cell r="A442"/>
          <cell r="B442"/>
          <cell r="E442"/>
        </row>
        <row r="443">
          <cell r="A443"/>
          <cell r="B443"/>
          <cell r="E443"/>
        </row>
        <row r="444">
          <cell r="A444"/>
          <cell r="B444"/>
          <cell r="E444"/>
        </row>
        <row r="445">
          <cell r="A445"/>
          <cell r="B445"/>
          <cell r="E445"/>
        </row>
        <row r="446">
          <cell r="A446"/>
          <cell r="B446"/>
          <cell r="E446"/>
        </row>
        <row r="447">
          <cell r="A447"/>
          <cell r="B447"/>
          <cell r="E447"/>
        </row>
        <row r="448">
          <cell r="A448"/>
          <cell r="B448"/>
          <cell r="E448"/>
        </row>
        <row r="449">
          <cell r="A449"/>
          <cell r="B449"/>
          <cell r="E449"/>
        </row>
        <row r="450">
          <cell r="A450"/>
          <cell r="B450"/>
          <cell r="E450"/>
        </row>
        <row r="451">
          <cell r="A451"/>
          <cell r="B451"/>
          <cell r="E451"/>
        </row>
        <row r="452">
          <cell r="A452"/>
          <cell r="B452"/>
          <cell r="E452"/>
        </row>
        <row r="453">
          <cell r="A453"/>
          <cell r="B453"/>
          <cell r="E453"/>
        </row>
        <row r="454">
          <cell r="A454"/>
          <cell r="B454"/>
          <cell r="E454"/>
        </row>
        <row r="455">
          <cell r="A455"/>
          <cell r="B455"/>
          <cell r="E455"/>
        </row>
        <row r="456">
          <cell r="A456"/>
          <cell r="B456"/>
          <cell r="E456"/>
        </row>
        <row r="457">
          <cell r="A457"/>
          <cell r="B457"/>
          <cell r="E457"/>
        </row>
        <row r="458">
          <cell r="A458"/>
          <cell r="B458"/>
          <cell r="E458"/>
        </row>
        <row r="459">
          <cell r="A459"/>
          <cell r="B459"/>
          <cell r="E459"/>
        </row>
        <row r="460">
          <cell r="A460"/>
          <cell r="B460"/>
          <cell r="E460"/>
        </row>
        <row r="461">
          <cell r="A461"/>
          <cell r="B461"/>
          <cell r="E461"/>
        </row>
        <row r="462">
          <cell r="A462"/>
          <cell r="B462"/>
          <cell r="E462"/>
        </row>
        <row r="463">
          <cell r="A463"/>
          <cell r="B463"/>
          <cell r="E463"/>
        </row>
        <row r="464">
          <cell r="A464"/>
          <cell r="B464"/>
          <cell r="E464"/>
        </row>
        <row r="465">
          <cell r="A465"/>
          <cell r="B465"/>
          <cell r="E465"/>
        </row>
        <row r="466">
          <cell r="A466"/>
          <cell r="B466"/>
          <cell r="E466"/>
        </row>
        <row r="467">
          <cell r="A467"/>
          <cell r="B467"/>
          <cell r="E467"/>
        </row>
        <row r="468">
          <cell r="A468"/>
          <cell r="B468"/>
          <cell r="E468"/>
        </row>
        <row r="469">
          <cell r="A469"/>
          <cell r="B469"/>
          <cell r="E469"/>
        </row>
        <row r="470">
          <cell r="A470"/>
          <cell r="B470"/>
          <cell r="E470"/>
        </row>
        <row r="471">
          <cell r="A471"/>
          <cell r="B471"/>
          <cell r="E471"/>
        </row>
        <row r="472">
          <cell r="A472"/>
          <cell r="B472"/>
          <cell r="E472"/>
        </row>
        <row r="473">
          <cell r="A473"/>
          <cell r="B473"/>
          <cell r="E473"/>
        </row>
        <row r="474">
          <cell r="A474"/>
          <cell r="B474"/>
          <cell r="E474"/>
        </row>
        <row r="475">
          <cell r="A475"/>
          <cell r="B475"/>
          <cell r="E475"/>
        </row>
        <row r="476">
          <cell r="A476"/>
          <cell r="B476"/>
          <cell r="E476"/>
        </row>
        <row r="477">
          <cell r="A477"/>
          <cell r="B477"/>
          <cell r="E477"/>
        </row>
        <row r="478">
          <cell r="A478"/>
          <cell r="B478"/>
          <cell r="E478"/>
        </row>
        <row r="479">
          <cell r="A479"/>
          <cell r="B479"/>
          <cell r="E479"/>
        </row>
        <row r="480">
          <cell r="A480"/>
          <cell r="B480"/>
          <cell r="E480"/>
        </row>
        <row r="481">
          <cell r="A481"/>
          <cell r="B481"/>
          <cell r="E481"/>
        </row>
        <row r="482">
          <cell r="A482"/>
          <cell r="B482"/>
          <cell r="E482"/>
        </row>
        <row r="483">
          <cell r="A483"/>
          <cell r="B483"/>
          <cell r="E483"/>
        </row>
        <row r="484">
          <cell r="A484"/>
          <cell r="B484"/>
          <cell r="E484"/>
        </row>
        <row r="485">
          <cell r="A485"/>
          <cell r="B485"/>
          <cell r="E485"/>
        </row>
        <row r="486">
          <cell r="A486"/>
          <cell r="B486"/>
          <cell r="E486"/>
        </row>
        <row r="487">
          <cell r="A487"/>
          <cell r="B487"/>
          <cell r="E487"/>
        </row>
        <row r="488">
          <cell r="A488"/>
          <cell r="B488"/>
          <cell r="E488"/>
        </row>
        <row r="489">
          <cell r="A489"/>
          <cell r="B489"/>
          <cell r="E489"/>
        </row>
        <row r="490">
          <cell r="A490"/>
          <cell r="B490"/>
          <cell r="E490"/>
        </row>
        <row r="491">
          <cell r="A491"/>
          <cell r="B491"/>
          <cell r="E491"/>
        </row>
        <row r="492">
          <cell r="A492"/>
          <cell r="B492"/>
          <cell r="E492"/>
        </row>
        <row r="493">
          <cell r="A493"/>
          <cell r="B493"/>
          <cell r="E493"/>
        </row>
        <row r="494">
          <cell r="A494"/>
          <cell r="B494"/>
          <cell r="E494"/>
        </row>
        <row r="495">
          <cell r="A495"/>
          <cell r="B495"/>
          <cell r="E495"/>
        </row>
        <row r="496">
          <cell r="A496"/>
          <cell r="B496"/>
          <cell r="E496"/>
        </row>
        <row r="497">
          <cell r="A497"/>
          <cell r="B497"/>
          <cell r="E497"/>
        </row>
        <row r="498">
          <cell r="A498"/>
          <cell r="B498"/>
          <cell r="E498"/>
        </row>
        <row r="499">
          <cell r="A499"/>
          <cell r="B499"/>
          <cell r="E499"/>
        </row>
        <row r="500">
          <cell r="A500"/>
          <cell r="B500"/>
          <cell r="E500"/>
        </row>
        <row r="501">
          <cell r="A501"/>
          <cell r="B501"/>
          <cell r="E501"/>
        </row>
        <row r="502">
          <cell r="A502"/>
          <cell r="B502"/>
          <cell r="E502"/>
        </row>
        <row r="503">
          <cell r="A503"/>
          <cell r="B503"/>
          <cell r="E503"/>
        </row>
        <row r="504">
          <cell r="A504"/>
          <cell r="B504"/>
          <cell r="E504"/>
        </row>
        <row r="505">
          <cell r="A505"/>
          <cell r="B505"/>
          <cell r="E505"/>
        </row>
        <row r="506">
          <cell r="A506"/>
          <cell r="B506"/>
          <cell r="E506"/>
        </row>
        <row r="507">
          <cell r="A507"/>
          <cell r="B507"/>
          <cell r="E507"/>
        </row>
        <row r="508">
          <cell r="A508"/>
          <cell r="B508"/>
          <cell r="E508"/>
        </row>
        <row r="509">
          <cell r="A509"/>
          <cell r="B509"/>
          <cell r="E509"/>
        </row>
        <row r="510">
          <cell r="A510"/>
          <cell r="B510"/>
          <cell r="E510"/>
        </row>
        <row r="511">
          <cell r="A511"/>
          <cell r="B511"/>
          <cell r="E511"/>
        </row>
        <row r="512">
          <cell r="A512"/>
          <cell r="B512"/>
          <cell r="E512"/>
        </row>
        <row r="513">
          <cell r="A513"/>
          <cell r="B513"/>
          <cell r="E513"/>
        </row>
        <row r="514">
          <cell r="A514"/>
          <cell r="B514"/>
          <cell r="E514"/>
        </row>
        <row r="515">
          <cell r="A515"/>
          <cell r="B515"/>
          <cell r="E515"/>
        </row>
        <row r="516">
          <cell r="A516"/>
          <cell r="B516"/>
          <cell r="E516"/>
        </row>
        <row r="517">
          <cell r="A517"/>
          <cell r="B517"/>
          <cell r="E517"/>
        </row>
        <row r="518">
          <cell r="A518"/>
          <cell r="B518"/>
          <cell r="E518"/>
        </row>
        <row r="519">
          <cell r="A519"/>
          <cell r="B519"/>
          <cell r="E519"/>
        </row>
        <row r="520">
          <cell r="A520"/>
          <cell r="B520"/>
          <cell r="E520"/>
        </row>
        <row r="521">
          <cell r="A521"/>
          <cell r="B521"/>
          <cell r="E521"/>
        </row>
        <row r="522">
          <cell r="A522"/>
          <cell r="B522"/>
          <cell r="E522"/>
        </row>
        <row r="523">
          <cell r="A523"/>
          <cell r="B523"/>
          <cell r="E523"/>
        </row>
        <row r="524">
          <cell r="A524"/>
          <cell r="B524"/>
          <cell r="E524"/>
        </row>
        <row r="525">
          <cell r="A525"/>
          <cell r="B525"/>
          <cell r="E525"/>
        </row>
        <row r="526">
          <cell r="A526"/>
          <cell r="B526"/>
          <cell r="E526"/>
        </row>
        <row r="527">
          <cell r="A527"/>
          <cell r="B527"/>
          <cell r="E527"/>
        </row>
        <row r="528">
          <cell r="A528"/>
          <cell r="B528"/>
          <cell r="E528"/>
        </row>
        <row r="529">
          <cell r="A529"/>
          <cell r="B529"/>
          <cell r="E529"/>
        </row>
        <row r="530">
          <cell r="A530"/>
          <cell r="B530"/>
          <cell r="E530"/>
        </row>
        <row r="531">
          <cell r="A531"/>
          <cell r="B531"/>
          <cell r="E531"/>
        </row>
        <row r="532">
          <cell r="A532"/>
          <cell r="B532"/>
          <cell r="E532"/>
        </row>
        <row r="533">
          <cell r="A533"/>
          <cell r="B533"/>
          <cell r="E533"/>
        </row>
        <row r="534">
          <cell r="A534"/>
          <cell r="B534"/>
          <cell r="E534"/>
        </row>
        <row r="535">
          <cell r="A535"/>
          <cell r="B535"/>
          <cell r="E535"/>
        </row>
        <row r="536">
          <cell r="A536"/>
          <cell r="B536"/>
          <cell r="E536"/>
        </row>
        <row r="537">
          <cell r="A537"/>
          <cell r="B537"/>
          <cell r="E537"/>
        </row>
        <row r="538">
          <cell r="A538"/>
          <cell r="B538"/>
          <cell r="E538"/>
        </row>
        <row r="539">
          <cell r="A539"/>
          <cell r="B539"/>
          <cell r="E539"/>
        </row>
        <row r="540">
          <cell r="A540"/>
          <cell r="B540"/>
          <cell r="E540"/>
        </row>
        <row r="541">
          <cell r="A541"/>
          <cell r="B541"/>
          <cell r="E541"/>
        </row>
        <row r="542">
          <cell r="A542"/>
          <cell r="B542"/>
          <cell r="E542"/>
        </row>
        <row r="543">
          <cell r="A543"/>
          <cell r="B543"/>
          <cell r="E543"/>
        </row>
        <row r="544">
          <cell r="A544"/>
          <cell r="B544"/>
          <cell r="E544"/>
        </row>
        <row r="545">
          <cell r="A545"/>
          <cell r="B545"/>
          <cell r="E545"/>
        </row>
        <row r="546">
          <cell r="A546"/>
          <cell r="B546"/>
          <cell r="E546"/>
        </row>
        <row r="547">
          <cell r="A547"/>
          <cell r="B547"/>
          <cell r="E547"/>
        </row>
        <row r="548">
          <cell r="A548"/>
          <cell r="B548"/>
          <cell r="E548"/>
        </row>
        <row r="549">
          <cell r="A549"/>
          <cell r="B549"/>
          <cell r="E549"/>
        </row>
        <row r="550">
          <cell r="A550"/>
          <cell r="B550"/>
          <cell r="E550"/>
        </row>
        <row r="551">
          <cell r="A551"/>
          <cell r="B551"/>
          <cell r="E551"/>
        </row>
        <row r="552">
          <cell r="A552"/>
          <cell r="B552"/>
          <cell r="E552"/>
        </row>
        <row r="553">
          <cell r="A553"/>
          <cell r="B553"/>
          <cell r="E553"/>
        </row>
        <row r="554">
          <cell r="A554"/>
          <cell r="B554"/>
          <cell r="E554"/>
        </row>
        <row r="555">
          <cell r="A555"/>
          <cell r="B555"/>
          <cell r="E555"/>
        </row>
        <row r="556">
          <cell r="A556"/>
          <cell r="B556"/>
          <cell r="E556"/>
        </row>
        <row r="557">
          <cell r="A557"/>
          <cell r="B557"/>
          <cell r="E557"/>
        </row>
        <row r="558">
          <cell r="A558"/>
          <cell r="B558"/>
          <cell r="E558"/>
        </row>
        <row r="559">
          <cell r="A559"/>
          <cell r="B559"/>
          <cell r="E559"/>
        </row>
        <row r="560">
          <cell r="A560"/>
          <cell r="B560"/>
          <cell r="E560"/>
        </row>
        <row r="561">
          <cell r="A561"/>
          <cell r="B561"/>
          <cell r="E561"/>
        </row>
        <row r="562">
          <cell r="A562"/>
          <cell r="B562"/>
          <cell r="E562"/>
        </row>
        <row r="563">
          <cell r="A563"/>
          <cell r="B563"/>
          <cell r="E563"/>
        </row>
        <row r="564">
          <cell r="A564"/>
          <cell r="B564"/>
          <cell r="E564"/>
        </row>
        <row r="565">
          <cell r="A565"/>
          <cell r="B565"/>
          <cell r="E565"/>
        </row>
        <row r="566">
          <cell r="A566"/>
          <cell r="B566"/>
          <cell r="E566"/>
        </row>
        <row r="567">
          <cell r="A567"/>
          <cell r="B567"/>
          <cell r="E567"/>
        </row>
        <row r="568">
          <cell r="A568"/>
          <cell r="B568"/>
          <cell r="E568"/>
        </row>
        <row r="569">
          <cell r="A569"/>
          <cell r="B569"/>
          <cell r="E569"/>
        </row>
        <row r="570">
          <cell r="A570"/>
          <cell r="B570"/>
          <cell r="E570"/>
        </row>
        <row r="571">
          <cell r="A571"/>
          <cell r="B571"/>
          <cell r="E571"/>
        </row>
        <row r="572">
          <cell r="A572"/>
          <cell r="B572"/>
          <cell r="E572"/>
        </row>
        <row r="573">
          <cell r="A573"/>
          <cell r="B573"/>
          <cell r="E573"/>
        </row>
        <row r="574">
          <cell r="A574"/>
          <cell r="B574"/>
          <cell r="E574"/>
        </row>
        <row r="575">
          <cell r="A575"/>
          <cell r="B575"/>
          <cell r="E575"/>
        </row>
        <row r="576">
          <cell r="A576"/>
          <cell r="B576"/>
          <cell r="E576"/>
        </row>
        <row r="577">
          <cell r="A577"/>
          <cell r="B577"/>
          <cell r="E577"/>
        </row>
        <row r="578">
          <cell r="A578"/>
          <cell r="B578"/>
          <cell r="E578"/>
        </row>
        <row r="579">
          <cell r="A579"/>
          <cell r="B579"/>
          <cell r="E579"/>
        </row>
        <row r="580">
          <cell r="A580"/>
          <cell r="B580"/>
          <cell r="E580"/>
        </row>
        <row r="581">
          <cell r="A581"/>
          <cell r="B581"/>
          <cell r="E581"/>
        </row>
        <row r="582">
          <cell r="A582"/>
          <cell r="B582"/>
          <cell r="E582"/>
        </row>
        <row r="583">
          <cell r="A583"/>
          <cell r="B583"/>
          <cell r="E583"/>
        </row>
        <row r="584">
          <cell r="A584"/>
          <cell r="B584"/>
          <cell r="E584"/>
        </row>
        <row r="585">
          <cell r="A585"/>
          <cell r="B585"/>
          <cell r="E585"/>
        </row>
        <row r="586">
          <cell r="A586"/>
          <cell r="B586"/>
          <cell r="E586"/>
        </row>
        <row r="587">
          <cell r="A587"/>
          <cell r="B587"/>
          <cell r="E587"/>
        </row>
        <row r="588">
          <cell r="A588"/>
          <cell r="B588"/>
          <cell r="E588"/>
        </row>
        <row r="589">
          <cell r="A589"/>
          <cell r="B589"/>
          <cell r="E589"/>
        </row>
        <row r="590">
          <cell r="A590"/>
          <cell r="B590"/>
          <cell r="E590"/>
        </row>
        <row r="591">
          <cell r="A591"/>
          <cell r="B591"/>
          <cell r="E591"/>
        </row>
        <row r="592">
          <cell r="A592"/>
          <cell r="B592"/>
          <cell r="E592"/>
        </row>
        <row r="593">
          <cell r="A593"/>
          <cell r="B593"/>
          <cell r="E593"/>
        </row>
        <row r="594">
          <cell r="A594"/>
          <cell r="B594"/>
          <cell r="E594"/>
        </row>
        <row r="595">
          <cell r="A595"/>
          <cell r="B595"/>
          <cell r="E595"/>
        </row>
        <row r="596">
          <cell r="A596"/>
          <cell r="B596"/>
          <cell r="E596"/>
        </row>
        <row r="597">
          <cell r="A597"/>
          <cell r="B597"/>
          <cell r="E597"/>
        </row>
        <row r="598">
          <cell r="A598"/>
          <cell r="B598"/>
          <cell r="E598"/>
        </row>
        <row r="599">
          <cell r="A599"/>
          <cell r="B599"/>
          <cell r="E599"/>
        </row>
        <row r="600">
          <cell r="A600"/>
          <cell r="B600"/>
          <cell r="E600"/>
        </row>
        <row r="601">
          <cell r="A601"/>
          <cell r="B601"/>
          <cell r="E601"/>
        </row>
        <row r="602">
          <cell r="A602"/>
          <cell r="B602"/>
          <cell r="E602"/>
        </row>
        <row r="603">
          <cell r="A603"/>
          <cell r="B603"/>
          <cell r="E603"/>
        </row>
        <row r="604">
          <cell r="A604"/>
          <cell r="B604"/>
          <cell r="E604"/>
        </row>
        <row r="605">
          <cell r="A605"/>
          <cell r="B605"/>
          <cell r="E605"/>
        </row>
        <row r="606">
          <cell r="A606"/>
          <cell r="B606"/>
          <cell r="E606"/>
        </row>
        <row r="607">
          <cell r="A607"/>
          <cell r="B607"/>
          <cell r="E607"/>
        </row>
        <row r="608">
          <cell r="A608"/>
          <cell r="B608"/>
          <cell r="E608"/>
        </row>
        <row r="609">
          <cell r="A609"/>
          <cell r="B609"/>
          <cell r="E609"/>
        </row>
        <row r="610">
          <cell r="A610"/>
          <cell r="B610"/>
          <cell r="E610"/>
        </row>
        <row r="611">
          <cell r="A611"/>
          <cell r="B611"/>
          <cell r="E611"/>
        </row>
        <row r="612">
          <cell r="A612"/>
          <cell r="B612"/>
          <cell r="E612"/>
        </row>
        <row r="613">
          <cell r="A613"/>
          <cell r="B613"/>
          <cell r="E613"/>
        </row>
        <row r="614">
          <cell r="A614"/>
          <cell r="B614"/>
          <cell r="E614"/>
        </row>
        <row r="615">
          <cell r="A615"/>
          <cell r="B615"/>
          <cell r="E615"/>
        </row>
        <row r="616">
          <cell r="A616"/>
          <cell r="B616"/>
          <cell r="E616"/>
        </row>
        <row r="617">
          <cell r="A617"/>
          <cell r="B617"/>
          <cell r="E617"/>
        </row>
        <row r="618">
          <cell r="A618"/>
          <cell r="B618"/>
          <cell r="E618"/>
        </row>
        <row r="619">
          <cell r="A619"/>
          <cell r="B619"/>
          <cell r="E619"/>
        </row>
        <row r="620">
          <cell r="A620"/>
          <cell r="B620"/>
          <cell r="E620"/>
        </row>
        <row r="621">
          <cell r="A621"/>
          <cell r="B621"/>
          <cell r="E621"/>
        </row>
        <row r="622">
          <cell r="A622"/>
          <cell r="B622"/>
          <cell r="E622"/>
        </row>
        <row r="623">
          <cell r="A623"/>
          <cell r="B623"/>
          <cell r="E623"/>
        </row>
        <row r="624">
          <cell r="A624"/>
          <cell r="B624"/>
          <cell r="E624"/>
        </row>
        <row r="625">
          <cell r="A625"/>
          <cell r="B625"/>
          <cell r="E625"/>
        </row>
        <row r="626">
          <cell r="A626"/>
          <cell r="B626"/>
          <cell r="E626"/>
        </row>
        <row r="627">
          <cell r="A627"/>
          <cell r="B627"/>
          <cell r="E627"/>
        </row>
        <row r="628">
          <cell r="A628"/>
          <cell r="B628"/>
          <cell r="E628"/>
        </row>
        <row r="629">
          <cell r="A629"/>
          <cell r="B629"/>
          <cell r="E629"/>
        </row>
        <row r="630">
          <cell r="A630"/>
          <cell r="B630"/>
          <cell r="E630"/>
        </row>
        <row r="631">
          <cell r="A631"/>
          <cell r="B631"/>
          <cell r="E631"/>
        </row>
        <row r="632">
          <cell r="A632"/>
          <cell r="B632"/>
          <cell r="E632"/>
        </row>
        <row r="633">
          <cell r="A633"/>
          <cell r="B633"/>
          <cell r="E633"/>
        </row>
        <row r="634">
          <cell r="A634"/>
          <cell r="B634"/>
          <cell r="E634"/>
        </row>
        <row r="635">
          <cell r="A635"/>
          <cell r="B635"/>
          <cell r="E635"/>
        </row>
        <row r="636">
          <cell r="A636"/>
          <cell r="B636"/>
          <cell r="E636"/>
        </row>
        <row r="637">
          <cell r="A637"/>
          <cell r="B637"/>
          <cell r="E637"/>
        </row>
        <row r="638">
          <cell r="A638"/>
          <cell r="B638"/>
          <cell r="E638"/>
        </row>
        <row r="639">
          <cell r="A639"/>
          <cell r="B639"/>
          <cell r="E639"/>
        </row>
        <row r="640">
          <cell r="A640"/>
          <cell r="B640"/>
          <cell r="E640"/>
        </row>
        <row r="641">
          <cell r="A641"/>
          <cell r="B641"/>
          <cell r="E641"/>
        </row>
        <row r="642">
          <cell r="A642"/>
          <cell r="B642"/>
          <cell r="E642"/>
        </row>
        <row r="643">
          <cell r="A643"/>
          <cell r="B643"/>
          <cell r="E643"/>
        </row>
        <row r="644">
          <cell r="A644"/>
          <cell r="B644"/>
          <cell r="E644"/>
        </row>
        <row r="645">
          <cell r="A645"/>
          <cell r="B645"/>
          <cell r="E645"/>
        </row>
        <row r="646">
          <cell r="A646"/>
          <cell r="B646"/>
          <cell r="E646"/>
        </row>
        <row r="647">
          <cell r="A647"/>
          <cell r="B647"/>
          <cell r="E647"/>
        </row>
        <row r="648">
          <cell r="A648"/>
          <cell r="B648"/>
          <cell r="E648"/>
        </row>
        <row r="649">
          <cell r="A649"/>
          <cell r="B649"/>
          <cell r="E649"/>
        </row>
        <row r="650">
          <cell r="A650"/>
          <cell r="B650"/>
          <cell r="E650"/>
        </row>
        <row r="651">
          <cell r="A651"/>
          <cell r="B651"/>
          <cell r="E651"/>
        </row>
        <row r="652">
          <cell r="A652"/>
          <cell r="B652"/>
          <cell r="E652"/>
        </row>
        <row r="653">
          <cell r="A653"/>
          <cell r="B653"/>
          <cell r="E653"/>
        </row>
        <row r="654">
          <cell r="A654"/>
          <cell r="B654"/>
          <cell r="E654"/>
        </row>
        <row r="655">
          <cell r="A655"/>
          <cell r="B655"/>
          <cell r="E655"/>
        </row>
        <row r="656">
          <cell r="A656"/>
          <cell r="B656"/>
          <cell r="E656"/>
        </row>
        <row r="657">
          <cell r="A657"/>
          <cell r="B657"/>
          <cell r="E657"/>
        </row>
        <row r="658">
          <cell r="A658"/>
          <cell r="B658"/>
          <cell r="E658"/>
        </row>
        <row r="659">
          <cell r="A659"/>
          <cell r="B659"/>
          <cell r="E659"/>
        </row>
        <row r="660">
          <cell r="A660"/>
          <cell r="B660"/>
          <cell r="E660"/>
        </row>
        <row r="661">
          <cell r="A661"/>
          <cell r="B661"/>
          <cell r="E661"/>
        </row>
        <row r="662">
          <cell r="A662"/>
          <cell r="B662"/>
          <cell r="E662"/>
        </row>
        <row r="663">
          <cell r="A663"/>
          <cell r="B663"/>
          <cell r="E663"/>
        </row>
        <row r="664">
          <cell r="A664"/>
          <cell r="B664"/>
          <cell r="E664"/>
        </row>
        <row r="665">
          <cell r="A665"/>
          <cell r="B665"/>
          <cell r="E665"/>
        </row>
        <row r="666">
          <cell r="A666"/>
          <cell r="B666"/>
          <cell r="E666"/>
        </row>
        <row r="667">
          <cell r="A667"/>
          <cell r="B667"/>
          <cell r="E667"/>
        </row>
        <row r="668">
          <cell r="A668"/>
          <cell r="B668"/>
          <cell r="E668"/>
        </row>
        <row r="669">
          <cell r="A669"/>
          <cell r="B669"/>
          <cell r="E669"/>
        </row>
        <row r="670">
          <cell r="A670"/>
          <cell r="B670"/>
          <cell r="E670"/>
        </row>
        <row r="671">
          <cell r="A671"/>
          <cell r="B671"/>
          <cell r="E671"/>
        </row>
        <row r="672">
          <cell r="A672"/>
          <cell r="B672"/>
          <cell r="E672"/>
        </row>
        <row r="673">
          <cell r="A673"/>
          <cell r="B673"/>
          <cell r="E673"/>
        </row>
        <row r="674">
          <cell r="A674"/>
          <cell r="B674"/>
          <cell r="E674"/>
        </row>
        <row r="675">
          <cell r="A675"/>
          <cell r="B675"/>
          <cell r="E675"/>
        </row>
        <row r="676">
          <cell r="A676"/>
          <cell r="B676"/>
          <cell r="E676"/>
        </row>
        <row r="677">
          <cell r="A677"/>
          <cell r="B677"/>
          <cell r="E677"/>
        </row>
        <row r="678">
          <cell r="A678"/>
          <cell r="B678"/>
          <cell r="E678"/>
        </row>
        <row r="679">
          <cell r="A679"/>
          <cell r="B679"/>
          <cell r="E679"/>
        </row>
        <row r="680">
          <cell r="A680"/>
          <cell r="B680"/>
          <cell r="E680"/>
        </row>
        <row r="681">
          <cell r="A681"/>
          <cell r="B681"/>
          <cell r="E681"/>
        </row>
        <row r="682">
          <cell r="A682"/>
          <cell r="B682"/>
          <cell r="E682"/>
        </row>
        <row r="683">
          <cell r="A683"/>
          <cell r="B683"/>
          <cell r="E683"/>
        </row>
        <row r="684">
          <cell r="A684"/>
          <cell r="B684"/>
          <cell r="E684"/>
        </row>
        <row r="685">
          <cell r="A685"/>
          <cell r="B685"/>
          <cell r="E685"/>
        </row>
        <row r="686">
          <cell r="A686"/>
          <cell r="B686"/>
          <cell r="E686"/>
        </row>
        <row r="687">
          <cell r="A687"/>
          <cell r="B687"/>
          <cell r="E687"/>
        </row>
        <row r="688">
          <cell r="A688"/>
          <cell r="B688"/>
          <cell r="E688"/>
        </row>
        <row r="689">
          <cell r="A689"/>
          <cell r="B689"/>
          <cell r="E689"/>
        </row>
        <row r="690">
          <cell r="A690"/>
          <cell r="B690"/>
          <cell r="E690"/>
        </row>
        <row r="691">
          <cell r="A691"/>
          <cell r="B691"/>
          <cell r="E691"/>
        </row>
        <row r="692">
          <cell r="A692"/>
          <cell r="B692"/>
          <cell r="E692"/>
        </row>
        <row r="693">
          <cell r="A693"/>
          <cell r="B693"/>
          <cell r="E693"/>
        </row>
        <row r="694">
          <cell r="A694"/>
          <cell r="B694"/>
          <cell r="E694"/>
        </row>
        <row r="695">
          <cell r="A695"/>
          <cell r="B695"/>
          <cell r="E695"/>
        </row>
        <row r="696">
          <cell r="A696"/>
          <cell r="B696"/>
          <cell r="E696"/>
        </row>
        <row r="697">
          <cell r="A697"/>
          <cell r="B697"/>
          <cell r="E697"/>
        </row>
        <row r="698">
          <cell r="A698"/>
          <cell r="B698"/>
          <cell r="E698"/>
        </row>
        <row r="699">
          <cell r="A699"/>
          <cell r="B699"/>
          <cell r="E699"/>
        </row>
        <row r="700">
          <cell r="A700"/>
          <cell r="B700"/>
          <cell r="E700"/>
        </row>
        <row r="701">
          <cell r="A701"/>
          <cell r="B701"/>
          <cell r="E701"/>
        </row>
        <row r="702">
          <cell r="A702"/>
          <cell r="B702"/>
          <cell r="E702"/>
        </row>
        <row r="703">
          <cell r="A703"/>
          <cell r="B703"/>
          <cell r="E703"/>
        </row>
        <row r="704">
          <cell r="A704"/>
          <cell r="B704"/>
          <cell r="E704"/>
        </row>
        <row r="705">
          <cell r="A705"/>
          <cell r="B705"/>
          <cell r="E705"/>
        </row>
        <row r="706">
          <cell r="A706"/>
          <cell r="B706"/>
          <cell r="E706"/>
        </row>
        <row r="707">
          <cell r="A707"/>
          <cell r="B707"/>
          <cell r="E707"/>
        </row>
        <row r="708">
          <cell r="A708"/>
          <cell r="B708"/>
          <cell r="E708"/>
        </row>
        <row r="709">
          <cell r="A709"/>
          <cell r="B709"/>
          <cell r="E709"/>
        </row>
        <row r="710">
          <cell r="A710"/>
          <cell r="B710"/>
          <cell r="E710"/>
        </row>
        <row r="711">
          <cell r="A711"/>
          <cell r="B711"/>
          <cell r="E711"/>
        </row>
        <row r="712">
          <cell r="A712"/>
          <cell r="B712"/>
          <cell r="E712"/>
        </row>
        <row r="713">
          <cell r="A713"/>
          <cell r="B713"/>
          <cell r="E713"/>
        </row>
        <row r="714">
          <cell r="A714"/>
          <cell r="B714"/>
          <cell r="E714"/>
        </row>
        <row r="715">
          <cell r="A715"/>
          <cell r="B715"/>
          <cell r="E715"/>
        </row>
        <row r="716">
          <cell r="A716"/>
          <cell r="B716"/>
          <cell r="E716"/>
        </row>
        <row r="717">
          <cell r="A717"/>
          <cell r="B717"/>
          <cell r="E717"/>
        </row>
        <row r="718">
          <cell r="A718"/>
          <cell r="B718"/>
          <cell r="E718"/>
        </row>
        <row r="719">
          <cell r="A719"/>
          <cell r="B719"/>
          <cell r="E719"/>
        </row>
        <row r="720">
          <cell r="A720"/>
          <cell r="B720"/>
          <cell r="E720"/>
        </row>
        <row r="721">
          <cell r="A721"/>
          <cell r="B721"/>
          <cell r="E721"/>
        </row>
        <row r="722">
          <cell r="A722"/>
          <cell r="B722"/>
          <cell r="E722"/>
        </row>
        <row r="723">
          <cell r="A723"/>
          <cell r="B723"/>
          <cell r="E723"/>
        </row>
        <row r="724">
          <cell r="A724"/>
          <cell r="B724"/>
          <cell r="E724"/>
        </row>
        <row r="725">
          <cell r="A725"/>
          <cell r="B725"/>
          <cell r="E725"/>
        </row>
        <row r="726">
          <cell r="A726"/>
          <cell r="B726"/>
          <cell r="E726"/>
        </row>
        <row r="727">
          <cell r="A727"/>
          <cell r="B727"/>
          <cell r="E727"/>
        </row>
        <row r="728">
          <cell r="A728"/>
          <cell r="B728"/>
          <cell r="E728"/>
        </row>
        <row r="729">
          <cell r="A729"/>
          <cell r="B729"/>
          <cell r="E729"/>
        </row>
        <row r="730">
          <cell r="A730"/>
          <cell r="B730"/>
          <cell r="E730"/>
        </row>
        <row r="731">
          <cell r="A731"/>
          <cell r="B731"/>
          <cell r="E731"/>
        </row>
        <row r="732">
          <cell r="A732"/>
          <cell r="B732"/>
          <cell r="E732"/>
        </row>
        <row r="733">
          <cell r="A733"/>
          <cell r="B733"/>
          <cell r="E733"/>
        </row>
        <row r="734">
          <cell r="A734"/>
          <cell r="B734"/>
          <cell r="E734"/>
        </row>
        <row r="735">
          <cell r="A735"/>
          <cell r="B735"/>
          <cell r="E735"/>
        </row>
        <row r="736">
          <cell r="A736"/>
          <cell r="B736"/>
          <cell r="E736"/>
        </row>
        <row r="737">
          <cell r="A737"/>
          <cell r="B737"/>
          <cell r="E737"/>
        </row>
        <row r="738">
          <cell r="A738"/>
          <cell r="B738"/>
          <cell r="E738"/>
        </row>
        <row r="739">
          <cell r="A739"/>
          <cell r="B739"/>
          <cell r="E739"/>
        </row>
        <row r="740">
          <cell r="A740"/>
          <cell r="B740"/>
          <cell r="E740"/>
        </row>
        <row r="741">
          <cell r="A741"/>
          <cell r="B741"/>
          <cell r="E741"/>
        </row>
        <row r="742">
          <cell r="A742"/>
          <cell r="B742"/>
          <cell r="E742"/>
        </row>
        <row r="743">
          <cell r="A743"/>
          <cell r="B743"/>
          <cell r="E743"/>
        </row>
        <row r="744">
          <cell r="A744"/>
          <cell r="B744"/>
          <cell r="E744"/>
        </row>
        <row r="745">
          <cell r="A745"/>
          <cell r="B745"/>
          <cell r="E745"/>
        </row>
        <row r="746">
          <cell r="A746"/>
          <cell r="B746"/>
          <cell r="E746"/>
        </row>
        <row r="747">
          <cell r="A747"/>
          <cell r="B747"/>
          <cell r="E747"/>
        </row>
        <row r="748">
          <cell r="A748"/>
          <cell r="B748"/>
          <cell r="E748"/>
        </row>
        <row r="749">
          <cell r="A749"/>
          <cell r="B749"/>
          <cell r="E749"/>
        </row>
        <row r="750">
          <cell r="A750"/>
          <cell r="B750"/>
          <cell r="E750"/>
        </row>
        <row r="751">
          <cell r="A751"/>
          <cell r="B751"/>
          <cell r="E751"/>
        </row>
        <row r="752">
          <cell r="A752"/>
          <cell r="B752"/>
          <cell r="E752"/>
        </row>
        <row r="753">
          <cell r="A753"/>
          <cell r="B753"/>
          <cell r="E753"/>
        </row>
        <row r="754">
          <cell r="A754"/>
          <cell r="B754"/>
          <cell r="E754"/>
        </row>
        <row r="755">
          <cell r="A755"/>
          <cell r="B755"/>
          <cell r="E755"/>
        </row>
        <row r="756">
          <cell r="A756"/>
          <cell r="B756"/>
          <cell r="E756"/>
        </row>
        <row r="757">
          <cell r="A757"/>
          <cell r="B757"/>
          <cell r="E757"/>
        </row>
        <row r="758">
          <cell r="A758"/>
          <cell r="B758"/>
          <cell r="E758"/>
        </row>
        <row r="759">
          <cell r="A759"/>
          <cell r="B759"/>
          <cell r="E759"/>
        </row>
        <row r="760">
          <cell r="A760"/>
          <cell r="B760"/>
          <cell r="E760"/>
        </row>
        <row r="761">
          <cell r="A761"/>
          <cell r="B761"/>
          <cell r="E761"/>
        </row>
        <row r="762">
          <cell r="A762"/>
          <cell r="B762"/>
          <cell r="E762"/>
        </row>
        <row r="763">
          <cell r="A763"/>
          <cell r="B763"/>
          <cell r="E763"/>
        </row>
        <row r="764">
          <cell r="A764"/>
          <cell r="B764"/>
          <cell r="E764"/>
        </row>
        <row r="765">
          <cell r="A765"/>
          <cell r="B765"/>
          <cell r="E765"/>
        </row>
        <row r="766">
          <cell r="A766"/>
          <cell r="B766"/>
          <cell r="E766"/>
        </row>
        <row r="767">
          <cell r="A767"/>
          <cell r="B767"/>
          <cell r="E767"/>
        </row>
        <row r="768">
          <cell r="A768"/>
          <cell r="B768"/>
          <cell r="E768"/>
        </row>
        <row r="769">
          <cell r="A769"/>
          <cell r="B769"/>
          <cell r="E769"/>
        </row>
        <row r="770">
          <cell r="A770"/>
          <cell r="B770"/>
          <cell r="E770"/>
        </row>
        <row r="771">
          <cell r="A771"/>
          <cell r="B771"/>
          <cell r="E771"/>
        </row>
        <row r="772">
          <cell r="A772"/>
          <cell r="B772"/>
          <cell r="E772"/>
        </row>
        <row r="773">
          <cell r="A773"/>
          <cell r="B773"/>
          <cell r="E773"/>
        </row>
        <row r="774">
          <cell r="A774"/>
          <cell r="B774"/>
          <cell r="E774"/>
        </row>
        <row r="775">
          <cell r="A775"/>
          <cell r="B775"/>
          <cell r="E775"/>
        </row>
        <row r="776">
          <cell r="A776"/>
          <cell r="B776"/>
          <cell r="E776"/>
        </row>
        <row r="777">
          <cell r="A777"/>
          <cell r="B777"/>
          <cell r="E777"/>
        </row>
        <row r="778">
          <cell r="A778"/>
          <cell r="B778"/>
          <cell r="E778"/>
        </row>
        <row r="779">
          <cell r="A779"/>
          <cell r="B779"/>
          <cell r="E779"/>
        </row>
        <row r="780">
          <cell r="A780"/>
          <cell r="B780"/>
          <cell r="E780"/>
        </row>
        <row r="781">
          <cell r="A781"/>
          <cell r="B781"/>
          <cell r="E781"/>
        </row>
        <row r="782">
          <cell r="A782"/>
          <cell r="B782"/>
          <cell r="E782"/>
        </row>
        <row r="783">
          <cell r="A783"/>
          <cell r="B783"/>
          <cell r="E783"/>
        </row>
        <row r="784">
          <cell r="A784"/>
          <cell r="B784"/>
          <cell r="E784"/>
        </row>
        <row r="785">
          <cell r="A785"/>
          <cell r="B785"/>
          <cell r="E785"/>
        </row>
        <row r="786">
          <cell r="A786"/>
          <cell r="B786"/>
          <cell r="E786"/>
        </row>
        <row r="787">
          <cell r="A787"/>
          <cell r="B787"/>
          <cell r="E787"/>
        </row>
        <row r="788">
          <cell r="A788"/>
          <cell r="B788"/>
          <cell r="E788"/>
        </row>
        <row r="789">
          <cell r="A789"/>
          <cell r="B789"/>
          <cell r="E789"/>
        </row>
        <row r="790">
          <cell r="A790"/>
          <cell r="B790"/>
          <cell r="E790"/>
        </row>
        <row r="791">
          <cell r="A791"/>
          <cell r="B791"/>
          <cell r="E791"/>
        </row>
        <row r="792">
          <cell r="A792"/>
          <cell r="B792"/>
          <cell r="E792"/>
        </row>
        <row r="793">
          <cell r="A793"/>
          <cell r="B793"/>
          <cell r="E793"/>
        </row>
        <row r="794">
          <cell r="A794"/>
          <cell r="B794"/>
          <cell r="E794"/>
        </row>
        <row r="795">
          <cell r="A795"/>
          <cell r="B795"/>
          <cell r="E795"/>
        </row>
        <row r="796">
          <cell r="A796"/>
          <cell r="B796"/>
          <cell r="E796"/>
        </row>
        <row r="797">
          <cell r="A797"/>
          <cell r="B797"/>
          <cell r="E797"/>
        </row>
        <row r="798">
          <cell r="A798"/>
          <cell r="B798"/>
          <cell r="E798"/>
        </row>
        <row r="799">
          <cell r="A799"/>
          <cell r="B799"/>
          <cell r="E799"/>
        </row>
        <row r="800">
          <cell r="A800"/>
          <cell r="B800"/>
          <cell r="E800"/>
        </row>
        <row r="801">
          <cell r="A801"/>
          <cell r="B801"/>
          <cell r="E801"/>
        </row>
        <row r="802">
          <cell r="A802"/>
          <cell r="B802"/>
          <cell r="E802"/>
        </row>
        <row r="803">
          <cell r="A803"/>
          <cell r="B803"/>
          <cell r="E803"/>
        </row>
        <row r="804">
          <cell r="A804"/>
          <cell r="B804"/>
          <cell r="E804"/>
        </row>
        <row r="805">
          <cell r="A805"/>
          <cell r="B805"/>
          <cell r="E805"/>
        </row>
        <row r="806">
          <cell r="A806"/>
          <cell r="B806"/>
          <cell r="E806"/>
        </row>
        <row r="807">
          <cell r="A807"/>
          <cell r="B807"/>
          <cell r="E807"/>
        </row>
        <row r="808">
          <cell r="A808"/>
          <cell r="B808"/>
          <cell r="E808"/>
        </row>
        <row r="809">
          <cell r="A809"/>
          <cell r="B809"/>
          <cell r="E809"/>
        </row>
        <row r="810">
          <cell r="A810"/>
          <cell r="B810"/>
          <cell r="E810"/>
        </row>
        <row r="811">
          <cell r="A811"/>
          <cell r="B811"/>
          <cell r="E811"/>
        </row>
        <row r="812">
          <cell r="A812"/>
          <cell r="B812"/>
          <cell r="E812"/>
        </row>
        <row r="813">
          <cell r="A813"/>
          <cell r="B813"/>
          <cell r="E813"/>
        </row>
        <row r="814">
          <cell r="A814"/>
          <cell r="B814"/>
          <cell r="E814"/>
        </row>
        <row r="815">
          <cell r="A815"/>
          <cell r="B815"/>
          <cell r="E815"/>
        </row>
        <row r="816">
          <cell r="A816"/>
          <cell r="B816"/>
          <cell r="E816"/>
        </row>
        <row r="817">
          <cell r="A817"/>
          <cell r="B817"/>
          <cell r="E817"/>
        </row>
        <row r="818">
          <cell r="A818"/>
          <cell r="B818"/>
          <cell r="E818"/>
        </row>
        <row r="819">
          <cell r="A819"/>
          <cell r="B819"/>
          <cell r="E819"/>
        </row>
        <row r="820">
          <cell r="A820"/>
          <cell r="B820"/>
          <cell r="E820"/>
        </row>
        <row r="821">
          <cell r="A821"/>
          <cell r="B821"/>
          <cell r="E821"/>
        </row>
        <row r="822">
          <cell r="A822"/>
          <cell r="B822"/>
          <cell r="E822"/>
        </row>
        <row r="823">
          <cell r="A823"/>
          <cell r="B823"/>
          <cell r="E823"/>
        </row>
        <row r="824">
          <cell r="A824"/>
          <cell r="B824"/>
          <cell r="E824"/>
        </row>
        <row r="825">
          <cell r="A825"/>
          <cell r="B825"/>
          <cell r="E825"/>
        </row>
        <row r="826">
          <cell r="A826"/>
          <cell r="B826"/>
          <cell r="E826"/>
        </row>
        <row r="827">
          <cell r="A827"/>
          <cell r="B827"/>
          <cell r="E827"/>
        </row>
        <row r="828">
          <cell r="A828"/>
          <cell r="B828"/>
          <cell r="E828"/>
        </row>
        <row r="829">
          <cell r="A829"/>
          <cell r="B829"/>
          <cell r="E829"/>
        </row>
        <row r="830">
          <cell r="A830"/>
          <cell r="B830"/>
          <cell r="E830"/>
        </row>
        <row r="831">
          <cell r="A831"/>
          <cell r="B831"/>
          <cell r="E831"/>
        </row>
        <row r="832">
          <cell r="A832"/>
          <cell r="B832"/>
          <cell r="E832"/>
        </row>
        <row r="833">
          <cell r="A833"/>
          <cell r="B833"/>
          <cell r="E833"/>
        </row>
        <row r="834">
          <cell r="A834"/>
          <cell r="B834"/>
          <cell r="E834"/>
        </row>
        <row r="835">
          <cell r="A835"/>
          <cell r="B835"/>
          <cell r="E835"/>
        </row>
        <row r="836">
          <cell r="A836"/>
          <cell r="B836"/>
          <cell r="E836"/>
        </row>
        <row r="837">
          <cell r="A837"/>
          <cell r="B837"/>
          <cell r="E837"/>
        </row>
        <row r="838">
          <cell r="A838"/>
          <cell r="B838"/>
          <cell r="E838"/>
        </row>
        <row r="839">
          <cell r="A839"/>
          <cell r="B839"/>
          <cell r="E839"/>
        </row>
        <row r="840">
          <cell r="A840"/>
          <cell r="B840"/>
          <cell r="E840"/>
        </row>
        <row r="841">
          <cell r="A841"/>
          <cell r="B841"/>
          <cell r="E841"/>
        </row>
        <row r="842">
          <cell r="A842"/>
          <cell r="B842"/>
          <cell r="E842"/>
        </row>
        <row r="843">
          <cell r="A843"/>
          <cell r="B843"/>
          <cell r="E843"/>
        </row>
        <row r="844">
          <cell r="A844"/>
          <cell r="B844"/>
          <cell r="E844"/>
        </row>
        <row r="845">
          <cell r="A845"/>
          <cell r="B845"/>
          <cell r="E845"/>
        </row>
        <row r="846">
          <cell r="A846"/>
          <cell r="B846"/>
          <cell r="E846"/>
        </row>
        <row r="847">
          <cell r="A847"/>
          <cell r="B847"/>
          <cell r="E847"/>
        </row>
        <row r="848">
          <cell r="A848"/>
          <cell r="B848"/>
          <cell r="E848"/>
        </row>
        <row r="849">
          <cell r="A849"/>
          <cell r="B849"/>
          <cell r="E849"/>
        </row>
        <row r="850">
          <cell r="A850"/>
          <cell r="B850"/>
          <cell r="E850"/>
        </row>
        <row r="851">
          <cell r="A851"/>
          <cell r="B851"/>
          <cell r="E851"/>
        </row>
        <row r="852">
          <cell r="A852"/>
          <cell r="B852"/>
          <cell r="E852"/>
        </row>
        <row r="853">
          <cell r="A853"/>
          <cell r="B853"/>
          <cell r="E853"/>
        </row>
        <row r="854">
          <cell r="A854"/>
          <cell r="B854"/>
          <cell r="E854"/>
        </row>
        <row r="855">
          <cell r="A855"/>
          <cell r="B855"/>
          <cell r="E855"/>
        </row>
        <row r="856">
          <cell r="A856"/>
          <cell r="B856"/>
          <cell r="E856"/>
        </row>
        <row r="857">
          <cell r="A857"/>
          <cell r="B857"/>
          <cell r="E857"/>
        </row>
        <row r="858">
          <cell r="A858"/>
          <cell r="B858"/>
          <cell r="E858"/>
        </row>
        <row r="859">
          <cell r="A859"/>
          <cell r="B859"/>
          <cell r="E859"/>
        </row>
        <row r="860">
          <cell r="A860"/>
          <cell r="B860"/>
          <cell r="E860"/>
        </row>
        <row r="861">
          <cell r="A861"/>
          <cell r="B861"/>
          <cell r="E861"/>
        </row>
        <row r="862">
          <cell r="A862"/>
          <cell r="B862"/>
          <cell r="E862"/>
        </row>
        <row r="863">
          <cell r="A863"/>
          <cell r="B863"/>
          <cell r="E863"/>
        </row>
        <row r="864">
          <cell r="A864"/>
          <cell r="B864"/>
          <cell r="E864"/>
        </row>
        <row r="865">
          <cell r="A865"/>
          <cell r="B865"/>
          <cell r="E865"/>
        </row>
        <row r="866">
          <cell r="A866"/>
          <cell r="B866"/>
          <cell r="E866"/>
        </row>
        <row r="867">
          <cell r="A867"/>
          <cell r="B867"/>
          <cell r="E867"/>
        </row>
        <row r="868">
          <cell r="A868"/>
          <cell r="B868"/>
          <cell r="E868"/>
        </row>
        <row r="869">
          <cell r="A869"/>
          <cell r="B869"/>
          <cell r="E869"/>
        </row>
        <row r="870">
          <cell r="A870"/>
          <cell r="B870"/>
          <cell r="E870"/>
        </row>
        <row r="871">
          <cell r="A871"/>
          <cell r="B871"/>
          <cell r="E871"/>
        </row>
        <row r="872">
          <cell r="A872"/>
          <cell r="B872"/>
          <cell r="E872"/>
        </row>
        <row r="873">
          <cell r="A873"/>
          <cell r="B873"/>
          <cell r="E873"/>
        </row>
        <row r="874">
          <cell r="A874"/>
          <cell r="B874"/>
          <cell r="E874"/>
        </row>
        <row r="875">
          <cell r="A875"/>
          <cell r="B875"/>
          <cell r="E875"/>
        </row>
        <row r="876">
          <cell r="A876"/>
          <cell r="B876"/>
          <cell r="E876"/>
        </row>
        <row r="877">
          <cell r="A877"/>
          <cell r="B877"/>
          <cell r="E877"/>
        </row>
        <row r="878">
          <cell r="A878"/>
          <cell r="B878"/>
          <cell r="E878"/>
        </row>
        <row r="879">
          <cell r="A879"/>
          <cell r="B879"/>
          <cell r="E879"/>
        </row>
        <row r="880">
          <cell r="A880"/>
          <cell r="B880"/>
          <cell r="E880"/>
        </row>
        <row r="881">
          <cell r="A881"/>
          <cell r="B881"/>
          <cell r="E881"/>
        </row>
        <row r="882">
          <cell r="A882"/>
          <cell r="B882"/>
          <cell r="E882"/>
        </row>
        <row r="883">
          <cell r="A883"/>
          <cell r="B883"/>
          <cell r="E883"/>
        </row>
        <row r="884">
          <cell r="A884"/>
          <cell r="B884"/>
          <cell r="E884"/>
        </row>
        <row r="885">
          <cell r="A885"/>
          <cell r="B885"/>
          <cell r="E885"/>
        </row>
        <row r="886">
          <cell r="A886"/>
          <cell r="B886"/>
          <cell r="E886"/>
        </row>
        <row r="887">
          <cell r="A887"/>
          <cell r="B887"/>
          <cell r="E887"/>
        </row>
        <row r="888">
          <cell r="A888"/>
          <cell r="B888"/>
          <cell r="E888"/>
        </row>
        <row r="889">
          <cell r="A889"/>
          <cell r="B889"/>
          <cell r="E889"/>
        </row>
        <row r="890">
          <cell r="A890"/>
          <cell r="B890"/>
          <cell r="E890"/>
        </row>
        <row r="891">
          <cell r="A891"/>
          <cell r="B891"/>
          <cell r="E891"/>
        </row>
        <row r="892">
          <cell r="A892"/>
          <cell r="B892"/>
          <cell r="E892"/>
        </row>
        <row r="893">
          <cell r="A893"/>
          <cell r="B893"/>
          <cell r="E893"/>
        </row>
        <row r="894">
          <cell r="A894"/>
          <cell r="B894"/>
          <cell r="E894"/>
        </row>
        <row r="895">
          <cell r="A895"/>
          <cell r="B895"/>
          <cell r="E895"/>
        </row>
        <row r="896">
          <cell r="A896"/>
          <cell r="B896"/>
          <cell r="E896"/>
        </row>
        <row r="897">
          <cell r="A897"/>
          <cell r="B897"/>
          <cell r="E897"/>
        </row>
        <row r="898">
          <cell r="A898"/>
          <cell r="B898"/>
          <cell r="E898"/>
        </row>
        <row r="899">
          <cell r="A899"/>
          <cell r="B899"/>
          <cell r="E899"/>
        </row>
        <row r="900">
          <cell r="A900"/>
          <cell r="B900"/>
          <cell r="E900"/>
        </row>
        <row r="901">
          <cell r="A901"/>
          <cell r="B901"/>
          <cell r="E901"/>
        </row>
        <row r="902">
          <cell r="A902"/>
          <cell r="B902"/>
          <cell r="E902"/>
        </row>
        <row r="903">
          <cell r="A903"/>
          <cell r="B903"/>
          <cell r="E903"/>
        </row>
        <row r="904">
          <cell r="A904"/>
          <cell r="B904"/>
          <cell r="E904"/>
        </row>
        <row r="905">
          <cell r="A905"/>
          <cell r="B905"/>
          <cell r="E905"/>
        </row>
        <row r="906">
          <cell r="A906"/>
          <cell r="B906"/>
          <cell r="E906"/>
        </row>
        <row r="907">
          <cell r="A907"/>
          <cell r="B907"/>
          <cell r="E907"/>
        </row>
        <row r="908">
          <cell r="A908"/>
          <cell r="B908"/>
          <cell r="E908"/>
        </row>
        <row r="909">
          <cell r="A909"/>
          <cell r="B909"/>
          <cell r="E909"/>
        </row>
        <row r="910">
          <cell r="A910"/>
          <cell r="B910"/>
          <cell r="E910"/>
        </row>
        <row r="911">
          <cell r="A911"/>
          <cell r="B911"/>
          <cell r="E911"/>
        </row>
        <row r="912">
          <cell r="A912"/>
          <cell r="B912"/>
          <cell r="E912"/>
        </row>
        <row r="913">
          <cell r="A913"/>
          <cell r="B913"/>
          <cell r="E913"/>
        </row>
        <row r="914">
          <cell r="A914"/>
          <cell r="B914"/>
          <cell r="E914"/>
        </row>
        <row r="915">
          <cell r="A915"/>
          <cell r="B915"/>
          <cell r="E915"/>
        </row>
        <row r="916">
          <cell r="A916"/>
          <cell r="B916"/>
          <cell r="E916"/>
        </row>
        <row r="917">
          <cell r="A917"/>
          <cell r="B917"/>
          <cell r="E917"/>
        </row>
        <row r="918">
          <cell r="A918"/>
          <cell r="B918"/>
          <cell r="E918"/>
        </row>
        <row r="919">
          <cell r="A919"/>
          <cell r="B919"/>
          <cell r="E919"/>
        </row>
        <row r="920">
          <cell r="A920"/>
          <cell r="B920"/>
          <cell r="E920"/>
        </row>
        <row r="921">
          <cell r="A921"/>
          <cell r="B921"/>
          <cell r="E921"/>
        </row>
        <row r="922">
          <cell r="A922"/>
          <cell r="B922"/>
          <cell r="E922"/>
        </row>
        <row r="923">
          <cell r="A923"/>
          <cell r="B923"/>
          <cell r="E923"/>
        </row>
        <row r="924">
          <cell r="A924"/>
          <cell r="B924"/>
          <cell r="E924"/>
        </row>
        <row r="925">
          <cell r="A925"/>
          <cell r="B925"/>
          <cell r="E925"/>
        </row>
        <row r="926">
          <cell r="A926"/>
          <cell r="B926"/>
          <cell r="E926"/>
        </row>
        <row r="927">
          <cell r="A927"/>
          <cell r="B927"/>
          <cell r="E927"/>
        </row>
        <row r="928">
          <cell r="A928"/>
          <cell r="B928"/>
          <cell r="E928"/>
        </row>
        <row r="929">
          <cell r="A929"/>
          <cell r="B929"/>
          <cell r="E929"/>
        </row>
        <row r="930">
          <cell r="A930"/>
          <cell r="B930"/>
          <cell r="E930"/>
        </row>
        <row r="931">
          <cell r="A931"/>
          <cell r="B931"/>
          <cell r="E931"/>
        </row>
        <row r="932">
          <cell r="A932"/>
          <cell r="B932"/>
          <cell r="E932"/>
        </row>
        <row r="933">
          <cell r="A933"/>
          <cell r="B933"/>
          <cell r="E933"/>
        </row>
        <row r="934">
          <cell r="A934"/>
          <cell r="B934"/>
          <cell r="E934"/>
        </row>
        <row r="935">
          <cell r="A935"/>
          <cell r="B935"/>
          <cell r="E935"/>
        </row>
        <row r="936">
          <cell r="A936"/>
          <cell r="B936"/>
          <cell r="E936"/>
        </row>
        <row r="937">
          <cell r="A937"/>
          <cell r="B937"/>
          <cell r="E937"/>
        </row>
        <row r="938">
          <cell r="A938"/>
          <cell r="B938"/>
          <cell r="E938"/>
        </row>
        <row r="939">
          <cell r="A939"/>
          <cell r="B939"/>
          <cell r="E939"/>
        </row>
        <row r="940">
          <cell r="A940"/>
          <cell r="B940"/>
          <cell r="E940"/>
        </row>
        <row r="941">
          <cell r="A941"/>
          <cell r="B941"/>
          <cell r="E941"/>
        </row>
        <row r="942">
          <cell r="A942"/>
          <cell r="B942"/>
          <cell r="E942"/>
        </row>
        <row r="943">
          <cell r="A943"/>
          <cell r="B943"/>
          <cell r="E943"/>
        </row>
        <row r="944">
          <cell r="A944"/>
          <cell r="B944"/>
          <cell r="E944"/>
        </row>
        <row r="945">
          <cell r="A945"/>
          <cell r="B945"/>
          <cell r="E945"/>
        </row>
        <row r="946">
          <cell r="A946"/>
          <cell r="B946"/>
          <cell r="E946"/>
        </row>
        <row r="947">
          <cell r="A947"/>
          <cell r="B947"/>
          <cell r="E947"/>
        </row>
        <row r="948">
          <cell r="A948"/>
          <cell r="B948"/>
          <cell r="E948"/>
        </row>
        <row r="949">
          <cell r="A949"/>
          <cell r="B949"/>
          <cell r="E949"/>
        </row>
        <row r="950">
          <cell r="A950"/>
          <cell r="B950"/>
          <cell r="E950"/>
        </row>
        <row r="951">
          <cell r="A951"/>
          <cell r="B951"/>
          <cell r="E951"/>
        </row>
        <row r="952">
          <cell r="A952"/>
          <cell r="B952"/>
          <cell r="E952"/>
        </row>
        <row r="953">
          <cell r="A953"/>
          <cell r="B953"/>
          <cell r="E953"/>
        </row>
        <row r="954">
          <cell r="A954"/>
          <cell r="B954"/>
          <cell r="E954"/>
        </row>
        <row r="955">
          <cell r="A955"/>
          <cell r="B955"/>
          <cell r="E955"/>
        </row>
        <row r="956">
          <cell r="A956"/>
          <cell r="B956"/>
          <cell r="E956"/>
        </row>
        <row r="957">
          <cell r="A957"/>
          <cell r="B957"/>
          <cell r="E957"/>
        </row>
        <row r="958">
          <cell r="A958"/>
          <cell r="B958"/>
          <cell r="E958"/>
        </row>
        <row r="959">
          <cell r="A959"/>
          <cell r="B959"/>
          <cell r="E959"/>
        </row>
        <row r="960">
          <cell r="A960"/>
          <cell r="B960"/>
          <cell r="E960"/>
        </row>
        <row r="961">
          <cell r="A961"/>
          <cell r="B961"/>
          <cell r="E961"/>
        </row>
        <row r="962">
          <cell r="A962"/>
          <cell r="B962"/>
          <cell r="E962"/>
        </row>
        <row r="963">
          <cell r="A963"/>
          <cell r="B963"/>
          <cell r="E963"/>
        </row>
        <row r="964">
          <cell r="A964"/>
          <cell r="B964"/>
          <cell r="E964"/>
        </row>
        <row r="965">
          <cell r="A965"/>
          <cell r="B965"/>
          <cell r="E965"/>
        </row>
        <row r="966">
          <cell r="A966"/>
          <cell r="B966"/>
          <cell r="E966"/>
        </row>
        <row r="967">
          <cell r="A967"/>
          <cell r="B967"/>
          <cell r="E967"/>
        </row>
        <row r="968">
          <cell r="A968"/>
          <cell r="B968"/>
          <cell r="E968"/>
        </row>
        <row r="969">
          <cell r="A969"/>
          <cell r="B969"/>
          <cell r="E969"/>
        </row>
        <row r="970">
          <cell r="A970"/>
          <cell r="B970"/>
          <cell r="E970"/>
        </row>
        <row r="971">
          <cell r="A971"/>
          <cell r="B971"/>
          <cell r="E971"/>
        </row>
        <row r="972">
          <cell r="A972"/>
          <cell r="B972"/>
          <cell r="E972"/>
        </row>
        <row r="973">
          <cell r="A973"/>
          <cell r="B973"/>
          <cell r="E973"/>
        </row>
        <row r="974">
          <cell r="A974"/>
          <cell r="B974"/>
          <cell r="E974"/>
        </row>
        <row r="975">
          <cell r="A975"/>
          <cell r="B975"/>
          <cell r="E975"/>
        </row>
        <row r="976">
          <cell r="A976"/>
          <cell r="B976"/>
          <cell r="E976"/>
        </row>
        <row r="977">
          <cell r="A977"/>
          <cell r="B977"/>
          <cell r="E977"/>
        </row>
        <row r="978">
          <cell r="A978"/>
          <cell r="B978"/>
          <cell r="E978"/>
        </row>
        <row r="979">
          <cell r="A979"/>
          <cell r="B979"/>
          <cell r="E979"/>
        </row>
        <row r="980">
          <cell r="A980"/>
          <cell r="B980"/>
          <cell r="E980"/>
        </row>
        <row r="981">
          <cell r="A981"/>
          <cell r="B981"/>
          <cell r="E981"/>
        </row>
        <row r="982">
          <cell r="A982"/>
          <cell r="B982"/>
          <cell r="E982"/>
        </row>
        <row r="983">
          <cell r="A983"/>
          <cell r="B983"/>
          <cell r="E983"/>
        </row>
        <row r="984">
          <cell r="A984"/>
          <cell r="B984"/>
          <cell r="E984"/>
        </row>
        <row r="985">
          <cell r="A985"/>
          <cell r="B985"/>
          <cell r="E985"/>
        </row>
        <row r="986">
          <cell r="A986"/>
          <cell r="B986"/>
          <cell r="E986"/>
        </row>
        <row r="987">
          <cell r="A987"/>
          <cell r="B987"/>
          <cell r="E987"/>
        </row>
        <row r="988">
          <cell r="A988"/>
          <cell r="B988"/>
          <cell r="E988"/>
        </row>
        <row r="989">
          <cell r="A989"/>
          <cell r="B989"/>
          <cell r="E989"/>
        </row>
        <row r="990">
          <cell r="A990"/>
          <cell r="B990"/>
          <cell r="E990"/>
        </row>
        <row r="991">
          <cell r="A991"/>
          <cell r="B991"/>
          <cell r="E991"/>
        </row>
        <row r="992">
          <cell r="A992"/>
          <cell r="B992"/>
          <cell r="E992"/>
        </row>
        <row r="993">
          <cell r="A993"/>
          <cell r="B993"/>
          <cell r="E993"/>
        </row>
        <row r="994">
          <cell r="A994"/>
          <cell r="B994"/>
          <cell r="E994"/>
        </row>
        <row r="995">
          <cell r="A995"/>
          <cell r="B995"/>
          <cell r="E995"/>
        </row>
        <row r="996">
          <cell r="A996"/>
          <cell r="B996"/>
          <cell r="E996"/>
        </row>
        <row r="997">
          <cell r="A997"/>
          <cell r="B997"/>
          <cell r="E997"/>
        </row>
        <row r="998">
          <cell r="A998"/>
          <cell r="B998"/>
          <cell r="E998"/>
        </row>
        <row r="999">
          <cell r="A999"/>
          <cell r="B999"/>
          <cell r="E999"/>
        </row>
        <row r="1000">
          <cell r="A1000"/>
          <cell r="B1000"/>
          <cell r="E1000"/>
        </row>
      </sheetData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MasterSheet"/>
      <sheetName val="CK"/>
      <sheetName val="MasterSheet (2)"/>
      <sheetName val="INVENTORY"/>
      <sheetName val="SALES MIX"/>
      <sheetName val="COSTING SUMMARY"/>
      <sheetName val="COSTING"/>
      <sheetName val="Sample"/>
      <sheetName val="Coco-cole(Hot)"/>
      <sheetName val="Popcorn Chicken"/>
      <sheetName val="Coco-cole(Cheese)"/>
      <sheetName val="French Fries"/>
      <sheetName val="Cheesestick"/>
      <sheetName val="Fried dumpling"/>
      <sheetName val="Steamed Rice"/>
      <sheetName val="Mozzarella Cheese"/>
      <sheetName val="Sundae Ice cream(Vanila)"/>
      <sheetName val="Sundae Ice cream(Choco)"/>
      <sheetName val="Coleslaw"/>
      <sheetName val="Seaweed Roll"/>
      <sheetName val="Cheeseball"/>
      <sheetName val="Chicken Skin"/>
      <sheetName val="Corn Dog"/>
      <sheetName val="Fish Bread"/>
      <sheetName val="Kids meal"/>
      <sheetName val="Japchae"/>
      <sheetName val="K-Boost"/>
      <sheetName val="Misutgaru"/>
      <sheetName val="Golden Fried Wing (1pc)"/>
      <sheetName val="Hot Spicy Wing(1pc) (2)"/>
      <sheetName val="Cheesling Wing(1pc) (2)"/>
      <sheetName val="Golden Fried Wing Combo (4pc)"/>
      <sheetName val="Hot Spicy Rice Combo(4pcs)"/>
      <sheetName val="GFC Rice Combo(4pcs)"/>
    </sheetNames>
    <sheetDataSet>
      <sheetData sheetId="0">
        <row r="2">
          <cell r="B2" t="str">
            <v xml:space="preserve">MASTER SHEET </v>
          </cell>
        </row>
        <row r="6">
          <cell r="B6" t="str">
            <v>P001</v>
          </cell>
          <cell r="C6" t="str">
            <v>올리브치킨용배터믹스</v>
          </cell>
          <cell r="D6" t="str">
            <v>Battering Powder Mix</v>
          </cell>
          <cell r="E6"/>
          <cell r="F6" t="str">
            <v>5kg*4pack</v>
          </cell>
          <cell r="G6">
            <v>20000</v>
          </cell>
          <cell r="H6">
            <v>1387500</v>
          </cell>
          <cell r="I6">
            <v>57.6</v>
          </cell>
          <cell r="J6">
            <v>0.85</v>
          </cell>
          <cell r="K6" t="str">
            <v>g</v>
          </cell>
          <cell r="L6">
            <v>81.617647058823536</v>
          </cell>
          <cell r="M6"/>
          <cell r="N6">
            <v>81.617647058823536</v>
          </cell>
        </row>
        <row r="7">
          <cell r="B7" t="str">
            <v>P002</v>
          </cell>
          <cell r="C7" t="str">
            <v>허니갈릭용배터믹스</v>
          </cell>
          <cell r="D7" t="str">
            <v xml:space="preserve">Battering Powder Mix C </v>
          </cell>
          <cell r="E7"/>
          <cell r="F7" t="str">
            <v>1kg*20pack</v>
          </cell>
          <cell r="G7">
            <v>20000</v>
          </cell>
          <cell r="H7">
            <v>1443000</v>
          </cell>
          <cell r="I7">
            <v>60</v>
          </cell>
          <cell r="J7">
            <v>0.98</v>
          </cell>
          <cell r="K7" t="str">
            <v>g</v>
          </cell>
          <cell r="L7">
            <v>73.622448979591837</v>
          </cell>
          <cell r="M7"/>
          <cell r="N7">
            <v>73.622448979591837</v>
          </cell>
        </row>
        <row r="8">
          <cell r="B8" t="str">
            <v>P003</v>
          </cell>
          <cell r="C8" t="str">
            <v>올리브치킨용마리네이드</v>
          </cell>
          <cell r="D8" t="str">
            <v xml:space="preserve">Marinade Powder Mix </v>
          </cell>
          <cell r="E8"/>
          <cell r="F8" t="str">
            <v>1kg*20pack</v>
          </cell>
          <cell r="G8">
            <v>20000</v>
          </cell>
          <cell r="H8">
            <v>2303250</v>
          </cell>
          <cell r="I8">
            <v>96</v>
          </cell>
          <cell r="J8">
            <v>0.98</v>
          </cell>
          <cell r="K8" t="str">
            <v>g</v>
          </cell>
          <cell r="L8">
            <v>117.51275510204081</v>
          </cell>
          <cell r="M8"/>
          <cell r="N8">
            <v>117.51275510204081</v>
          </cell>
        </row>
        <row r="9">
          <cell r="B9" t="str">
            <v>P004</v>
          </cell>
          <cell r="C9" t="str">
            <v>핫앤크리스피마리네이드</v>
          </cell>
          <cell r="D9" t="str">
            <v xml:space="preserve">Crispy Marinade S </v>
          </cell>
          <cell r="E9"/>
          <cell r="F9" t="str">
            <v>1kg*20pack</v>
          </cell>
          <cell r="G9">
            <v>20000</v>
          </cell>
          <cell r="H9"/>
          <cell r="I9"/>
          <cell r="J9">
            <v>0.98</v>
          </cell>
          <cell r="K9" t="str">
            <v>g</v>
          </cell>
          <cell r="L9">
            <v>0</v>
          </cell>
          <cell r="M9"/>
          <cell r="N9">
            <v>0</v>
          </cell>
        </row>
        <row r="10">
          <cell r="B10" t="str">
            <v>P005</v>
          </cell>
          <cell r="C10" t="str">
            <v>올리브마리네이드마일드</v>
          </cell>
          <cell r="D10"/>
          <cell r="E10"/>
          <cell r="F10" t="str">
            <v>5kg*4pack</v>
          </cell>
          <cell r="G10">
            <v>20000</v>
          </cell>
          <cell r="H10"/>
          <cell r="I10"/>
          <cell r="J10">
            <v>0.98</v>
          </cell>
          <cell r="K10" t="str">
            <v>g</v>
          </cell>
          <cell r="L10">
            <v>0</v>
          </cell>
          <cell r="M10"/>
          <cell r="N10">
            <v>0</v>
          </cell>
        </row>
        <row r="11">
          <cell r="B11" t="str">
            <v>P006</v>
          </cell>
          <cell r="C11" t="str">
            <v>BB윙스마리네이드</v>
          </cell>
          <cell r="D11" t="str">
            <v>BB Wings Marinade Powder Mix</v>
          </cell>
          <cell r="E11"/>
          <cell r="F11" t="str">
            <v>500*15pack</v>
          </cell>
          <cell r="G11">
            <v>7500</v>
          </cell>
          <cell r="H11"/>
          <cell r="I11"/>
          <cell r="J11">
            <v>0.98</v>
          </cell>
          <cell r="K11" t="str">
            <v>g</v>
          </cell>
          <cell r="L11">
            <v>0</v>
          </cell>
          <cell r="M11"/>
          <cell r="N11">
            <v>0</v>
          </cell>
        </row>
        <row r="12">
          <cell r="B12" t="str">
            <v>P007</v>
          </cell>
          <cell r="C12" t="str">
            <v>염장제</v>
          </cell>
          <cell r="D12" t="str">
            <v>Pickle Solution Powder Mix</v>
          </cell>
          <cell r="E12"/>
          <cell r="F12" t="str">
            <v>5kg*4pack</v>
          </cell>
          <cell r="G12">
            <v>20000</v>
          </cell>
          <cell r="H12">
            <v>1259850</v>
          </cell>
          <cell r="I12">
            <v>52.5</v>
          </cell>
          <cell r="J12">
            <v>0.98</v>
          </cell>
          <cell r="K12" t="str">
            <v>g</v>
          </cell>
          <cell r="L12">
            <v>64.278061224489804</v>
          </cell>
          <cell r="M12"/>
          <cell r="N12">
            <v>64.278061224489804</v>
          </cell>
        </row>
        <row r="13">
          <cell r="B13" t="str">
            <v>P008</v>
          </cell>
          <cell r="C13" t="str">
            <v>크런치버터시즈닝</v>
          </cell>
          <cell r="D13" t="str">
            <v>Crunch Butter Seasoning S</v>
          </cell>
          <cell r="E13"/>
          <cell r="F13" t="str">
            <v>60g*30ea*6bag</v>
          </cell>
          <cell r="G13">
            <v>10800</v>
          </cell>
          <cell r="H13"/>
          <cell r="I13">
            <v>0</v>
          </cell>
          <cell r="J13">
            <v>0.99</v>
          </cell>
          <cell r="K13" t="str">
            <v>g</v>
          </cell>
          <cell r="L13">
            <v>0</v>
          </cell>
          <cell r="M13"/>
          <cell r="N13">
            <v>0</v>
          </cell>
        </row>
        <row r="14">
          <cell r="B14" t="str">
            <v>P009</v>
          </cell>
          <cell r="C14" t="str">
            <v>저크시즈닝</v>
          </cell>
          <cell r="D14" t="str">
            <v xml:space="preserve">Jerk Barbeque Seasoning </v>
          </cell>
          <cell r="E14"/>
          <cell r="F14" t="str">
            <v>5kg*4pack</v>
          </cell>
          <cell r="G14">
            <v>20000</v>
          </cell>
          <cell r="H14"/>
          <cell r="I14"/>
          <cell r="J14">
            <v>0.98</v>
          </cell>
          <cell r="K14" t="str">
            <v>g</v>
          </cell>
          <cell r="L14">
            <v>0</v>
          </cell>
          <cell r="M14"/>
          <cell r="N14">
            <v>0</v>
          </cell>
        </row>
        <row r="15">
          <cell r="B15" t="str">
            <v>P010</v>
          </cell>
          <cell r="C15" t="str">
            <v>스모크치킨시즈닝</v>
          </cell>
          <cell r="D15" t="str">
            <v>Smoke Chicken Seasoning</v>
          </cell>
          <cell r="E15"/>
          <cell r="F15" t="str">
            <v>2kg*10pack</v>
          </cell>
          <cell r="G15">
            <v>20000</v>
          </cell>
          <cell r="H15"/>
          <cell r="I15"/>
          <cell r="J15">
            <v>0.98</v>
          </cell>
          <cell r="K15" t="str">
            <v>g</v>
          </cell>
          <cell r="L15">
            <v>0</v>
          </cell>
          <cell r="M15"/>
          <cell r="N15">
            <v>0</v>
          </cell>
        </row>
        <row r="16">
          <cell r="B16" t="str">
            <v>P011</v>
          </cell>
          <cell r="C16" t="str">
            <v>블랙페퍼시즈닝</v>
          </cell>
          <cell r="D16" t="str">
            <v xml:space="preserve">Black Pepper Seasoning </v>
          </cell>
          <cell r="E16"/>
          <cell r="F16" t="str">
            <v>15g*50pack*5bag</v>
          </cell>
          <cell r="G16">
            <v>3750</v>
          </cell>
          <cell r="H16"/>
          <cell r="I16">
            <v>0</v>
          </cell>
          <cell r="J16">
            <v>0.98</v>
          </cell>
          <cell r="K16" t="str">
            <v>g</v>
          </cell>
          <cell r="L16">
            <v>0</v>
          </cell>
          <cell r="M16"/>
          <cell r="N16">
            <v>0</v>
          </cell>
        </row>
        <row r="17">
          <cell r="B17" t="str">
            <v>P012</v>
          </cell>
          <cell r="C17" t="str">
            <v>치즈맛시즈닝</v>
          </cell>
          <cell r="D17" t="str">
            <v xml:space="preserve">Cheese Taste Seasoning Mix </v>
          </cell>
          <cell r="E17"/>
          <cell r="F17" t="str">
            <v>1kg*25pack</v>
          </cell>
          <cell r="G17">
            <v>25000</v>
          </cell>
          <cell r="H17">
            <v>7215000</v>
          </cell>
          <cell r="I17">
            <v>300</v>
          </cell>
          <cell r="J17">
            <v>0.98</v>
          </cell>
          <cell r="K17" t="str">
            <v>g</v>
          </cell>
          <cell r="L17">
            <v>294.48979591836735</v>
          </cell>
          <cell r="M17"/>
          <cell r="N17">
            <v>294.48979591836735</v>
          </cell>
        </row>
        <row r="18">
          <cell r="B18" t="str">
            <v>P013</v>
          </cell>
          <cell r="C18" t="str">
            <v>치킨무파우더</v>
          </cell>
          <cell r="D18" t="str">
            <v xml:space="preserve">SAF Powder </v>
          </cell>
          <cell r="E18"/>
          <cell r="F18" t="str">
            <v>10kg/pack</v>
          </cell>
          <cell r="G18">
            <v>20000</v>
          </cell>
          <cell r="H18"/>
          <cell r="I18">
            <v>0</v>
          </cell>
          <cell r="J18">
            <v>0.98</v>
          </cell>
          <cell r="K18" t="str">
            <v>g</v>
          </cell>
          <cell r="L18">
            <v>0</v>
          </cell>
          <cell r="M18"/>
          <cell r="N18">
            <v>0</v>
          </cell>
        </row>
        <row r="19">
          <cell r="B19" t="str">
            <v>P014</v>
          </cell>
          <cell r="C19" t="str">
            <v>속안심시즈닝</v>
          </cell>
          <cell r="D19" t="str">
            <v>Marinade No.5</v>
          </cell>
          <cell r="E19"/>
          <cell r="F19" t="str">
            <v>5kg*4pack</v>
          </cell>
          <cell r="G19">
            <v>20000</v>
          </cell>
          <cell r="H19"/>
          <cell r="I19"/>
          <cell r="J19">
            <v>0.98</v>
          </cell>
          <cell r="K19" t="str">
            <v>g</v>
          </cell>
          <cell r="L19">
            <v>0</v>
          </cell>
          <cell r="M19"/>
          <cell r="N19">
            <v>0</v>
          </cell>
        </row>
        <row r="20">
          <cell r="B20" t="str">
            <v>P015</v>
          </cell>
          <cell r="C20" t="str">
            <v>레드착착시즈닝</v>
          </cell>
          <cell r="D20" t="str">
            <v>Red Spicy Seasoning</v>
          </cell>
          <cell r="E20"/>
          <cell r="F20" t="str">
            <v>30g*50ea*6bag</v>
          </cell>
          <cell r="G20">
            <v>9000</v>
          </cell>
          <cell r="H20"/>
          <cell r="I20">
            <v>0</v>
          </cell>
          <cell r="J20">
            <v>0.98</v>
          </cell>
          <cell r="K20" t="str">
            <v>g</v>
          </cell>
          <cell r="L20">
            <v>0</v>
          </cell>
          <cell r="M20"/>
          <cell r="N20">
            <v>0</v>
          </cell>
        </row>
        <row r="21">
          <cell r="B21" t="str">
            <v>P016</v>
          </cell>
          <cell r="C21"/>
          <cell r="D21"/>
          <cell r="E21"/>
          <cell r="F21"/>
          <cell r="G21"/>
          <cell r="H21"/>
          <cell r="I21"/>
          <cell r="J21"/>
          <cell r="K21"/>
          <cell r="L21" t="str">
            <v>-</v>
          </cell>
          <cell r="M21"/>
          <cell r="N21"/>
        </row>
        <row r="22">
          <cell r="B22" t="str">
            <v>P017</v>
          </cell>
          <cell r="C22"/>
          <cell r="D22"/>
          <cell r="E22"/>
          <cell r="F22"/>
          <cell r="G22"/>
          <cell r="H22"/>
          <cell r="I22"/>
          <cell r="J22"/>
          <cell r="K22"/>
          <cell r="L22" t="str">
            <v>-</v>
          </cell>
          <cell r="M22"/>
          <cell r="N22"/>
        </row>
        <row r="23">
          <cell r="B23" t="str">
            <v>P018</v>
          </cell>
          <cell r="C23"/>
          <cell r="D23"/>
          <cell r="E23"/>
          <cell r="F23" t="str">
            <v>파우더 신규 추가시 사용</v>
          </cell>
          <cell r="G23"/>
          <cell r="H23"/>
          <cell r="I23"/>
          <cell r="J23"/>
          <cell r="K23"/>
          <cell r="L23" t="str">
            <v>-</v>
          </cell>
          <cell r="M23"/>
          <cell r="N23"/>
        </row>
        <row r="24">
          <cell r="B24" t="str">
            <v>P019</v>
          </cell>
          <cell r="C24"/>
          <cell r="D24"/>
          <cell r="E24"/>
          <cell r="F24"/>
          <cell r="G24"/>
          <cell r="H24"/>
          <cell r="I24"/>
          <cell r="J24"/>
          <cell r="K24"/>
          <cell r="L24" t="str">
            <v>-</v>
          </cell>
          <cell r="M24"/>
          <cell r="N24"/>
        </row>
        <row r="25">
          <cell r="B25" t="str">
            <v>P020</v>
          </cell>
          <cell r="C25"/>
          <cell r="D25"/>
          <cell r="E25"/>
          <cell r="F25"/>
          <cell r="G25"/>
          <cell r="H25"/>
          <cell r="I25"/>
          <cell r="J25"/>
          <cell r="K25"/>
          <cell r="L25" t="str">
            <v>-</v>
          </cell>
          <cell r="M25"/>
          <cell r="N25"/>
        </row>
        <row r="26">
          <cell r="B26" t="str">
            <v>P021</v>
          </cell>
          <cell r="C26" t="str">
            <v>튀김가루</v>
          </cell>
          <cell r="D26" t="str">
            <v>Frying Powder</v>
          </cell>
          <cell r="E26"/>
          <cell r="F26"/>
          <cell r="G26"/>
          <cell r="H26"/>
          <cell r="I26" t="e">
            <v>#DIV/0!</v>
          </cell>
          <cell r="J26"/>
          <cell r="K26" t="str">
            <v>g</v>
          </cell>
          <cell r="L26" t="str">
            <v>-</v>
          </cell>
          <cell r="M26"/>
          <cell r="N26" t="str">
            <v>-</v>
          </cell>
        </row>
        <row r="27">
          <cell r="B27" t="str">
            <v>S001</v>
          </cell>
          <cell r="C27" t="str">
            <v>시크릿양념소스</v>
          </cell>
          <cell r="D27" t="str">
            <v>bbq Secret Chicken Spicy Sauce</v>
          </cell>
          <cell r="E27"/>
          <cell r="F27" t="str">
            <v>2kg*5pack</v>
          </cell>
          <cell r="G27">
            <v>10000</v>
          </cell>
          <cell r="H27"/>
          <cell r="I27">
            <v>215</v>
          </cell>
          <cell r="J27">
            <v>0.96</v>
          </cell>
          <cell r="K27" t="str">
            <v>g</v>
          </cell>
          <cell r="L27">
            <v>0</v>
          </cell>
          <cell r="M27"/>
          <cell r="N27">
            <v>0</v>
          </cell>
        </row>
        <row r="28">
          <cell r="B28" t="str">
            <v>S002</v>
          </cell>
          <cell r="C28" t="str">
            <v>매운양념소스</v>
          </cell>
          <cell r="D28" t="str">
            <v>Hot Spicy Sauce</v>
          </cell>
          <cell r="E28"/>
          <cell r="F28" t="str">
            <v>1kg*10pack</v>
          </cell>
          <cell r="G28">
            <v>10000</v>
          </cell>
          <cell r="H28">
            <v>1304250</v>
          </cell>
          <cell r="I28">
            <v>54</v>
          </cell>
          <cell r="J28">
            <v>0.96</v>
          </cell>
          <cell r="K28" t="str">
            <v>g</v>
          </cell>
          <cell r="L28">
            <v>135.85937500000003</v>
          </cell>
          <cell r="M28"/>
          <cell r="N28">
            <v>135.85937500000003</v>
          </cell>
        </row>
        <row r="29">
          <cell r="B29" t="str">
            <v>S003</v>
          </cell>
          <cell r="C29" t="str">
            <v>소이갈릭용소스</v>
          </cell>
          <cell r="D29" t="str">
            <v>Garlic Flavour Soy Sauce</v>
          </cell>
          <cell r="E29"/>
          <cell r="F29" t="str">
            <v>1kg*10pack</v>
          </cell>
          <cell r="G29">
            <v>10000</v>
          </cell>
          <cell r="H29">
            <v>1082250</v>
          </cell>
          <cell r="I29">
            <v>44.5</v>
          </cell>
          <cell r="J29">
            <v>0.96</v>
          </cell>
          <cell r="K29" t="str">
            <v>g</v>
          </cell>
          <cell r="L29">
            <v>112.734375</v>
          </cell>
          <cell r="M29"/>
          <cell r="N29">
            <v>112.734375</v>
          </cell>
        </row>
        <row r="30">
          <cell r="B30" t="str">
            <v>S004</v>
          </cell>
          <cell r="C30" t="str">
            <v>허니갈릭용소스</v>
          </cell>
          <cell r="D30" t="str">
            <v>Garlic Flavour Honey Sauce</v>
          </cell>
          <cell r="E30"/>
          <cell r="F30" t="str">
            <v>2kg*5pack</v>
          </cell>
          <cell r="G30">
            <v>10000</v>
          </cell>
          <cell r="H30"/>
          <cell r="I30">
            <v>378</v>
          </cell>
          <cell r="J30">
            <v>0.96</v>
          </cell>
          <cell r="K30" t="str">
            <v>g</v>
          </cell>
          <cell r="L30">
            <v>0</v>
          </cell>
          <cell r="M30"/>
          <cell r="N30">
            <v>0</v>
          </cell>
        </row>
        <row r="31">
          <cell r="B31" t="str">
            <v>S005</v>
          </cell>
          <cell r="C31" t="str">
            <v>치킨강정소스</v>
          </cell>
          <cell r="D31" t="str">
            <v>Honey pepper Sauce</v>
          </cell>
          <cell r="E31"/>
          <cell r="F31" t="str">
            <v>2kg*6pack</v>
          </cell>
          <cell r="G31">
            <v>12000</v>
          </cell>
          <cell r="H31">
            <v>1370850</v>
          </cell>
          <cell r="I31">
            <v>57</v>
          </cell>
          <cell r="J31">
            <v>0.96</v>
          </cell>
          <cell r="K31" t="str">
            <v>g</v>
          </cell>
          <cell r="L31">
            <v>118.99739583333333</v>
          </cell>
          <cell r="M31"/>
          <cell r="N31">
            <v>118.99739583333333</v>
          </cell>
        </row>
        <row r="32">
          <cell r="B32" t="str">
            <v>S006</v>
          </cell>
          <cell r="C32" t="str">
            <v>극한왕갈비소스</v>
          </cell>
          <cell r="D32" t="str">
            <v>Galbi Flavour Sauce Mix</v>
          </cell>
          <cell r="E32"/>
          <cell r="F32" t="str">
            <v>2kg*6pack</v>
          </cell>
          <cell r="G32">
            <v>12000</v>
          </cell>
          <cell r="H32"/>
          <cell r="I32"/>
          <cell r="J32">
            <v>0.96</v>
          </cell>
          <cell r="K32" t="str">
            <v>g</v>
          </cell>
          <cell r="L32">
            <v>0</v>
          </cell>
          <cell r="M32"/>
          <cell r="N32">
            <v>0</v>
          </cell>
        </row>
        <row r="33">
          <cell r="B33" t="str">
            <v>S007</v>
          </cell>
          <cell r="C33" t="str">
            <v>매운 극한 왕갈비 소스</v>
          </cell>
          <cell r="D33" t="str">
            <v>Hot Ultimate wang Galbi Sauce</v>
          </cell>
          <cell r="E33"/>
          <cell r="F33" t="str">
            <v>2kg*6pack</v>
          </cell>
          <cell r="G33">
            <v>12000</v>
          </cell>
          <cell r="H33"/>
          <cell r="I33"/>
          <cell r="J33">
            <v>0.96</v>
          </cell>
          <cell r="K33" t="str">
            <v>g</v>
          </cell>
          <cell r="L33">
            <v>0</v>
          </cell>
          <cell r="M33"/>
          <cell r="N33">
            <v>0</v>
          </cell>
        </row>
        <row r="34">
          <cell r="B34" t="str">
            <v>S008</v>
          </cell>
          <cell r="C34" t="str">
            <v>꼬꼬칸풍소스</v>
          </cell>
          <cell r="D34" t="str">
            <v>KP Sauce</v>
          </cell>
          <cell r="E34"/>
          <cell r="F34" t="str">
            <v>2kg*5pack</v>
          </cell>
          <cell r="G34">
            <v>10000</v>
          </cell>
          <cell r="H34"/>
          <cell r="I34"/>
          <cell r="J34">
            <v>0.96</v>
          </cell>
          <cell r="K34" t="str">
            <v>g</v>
          </cell>
          <cell r="L34">
            <v>0</v>
          </cell>
          <cell r="M34"/>
          <cell r="N34">
            <v>0</v>
          </cell>
        </row>
        <row r="35">
          <cell r="B35" t="str">
            <v>S009</v>
          </cell>
          <cell r="C35" t="str">
            <v>빠리간장소스</v>
          </cell>
          <cell r="D35" t="str">
            <v>Deri Sauce Mix(P_Type)</v>
          </cell>
          <cell r="E35"/>
          <cell r="F35" t="str">
            <v>2kg*5pack</v>
          </cell>
          <cell r="G35">
            <v>10000</v>
          </cell>
          <cell r="H35"/>
          <cell r="I35">
            <v>276</v>
          </cell>
          <cell r="J35">
            <v>0.96</v>
          </cell>
          <cell r="K35" t="str">
            <v>g</v>
          </cell>
          <cell r="L35">
            <v>0</v>
          </cell>
          <cell r="M35"/>
          <cell r="N35">
            <v>0</v>
          </cell>
        </row>
        <row r="36">
          <cell r="B36" t="str">
            <v>S010</v>
          </cell>
          <cell r="C36" t="str">
            <v>마라핫소스</v>
          </cell>
          <cell r="D36" t="str">
            <v>Mala Hot Sauce</v>
          </cell>
          <cell r="E36"/>
          <cell r="F36" t="str">
            <v>2kg*6pack</v>
          </cell>
          <cell r="G36">
            <v>12000</v>
          </cell>
          <cell r="H36">
            <v>1443000</v>
          </cell>
          <cell r="I36">
            <v>60.3</v>
          </cell>
          <cell r="J36">
            <v>0.96</v>
          </cell>
          <cell r="K36" t="str">
            <v>g</v>
          </cell>
          <cell r="L36">
            <v>125.26041666666667</v>
          </cell>
          <cell r="M36"/>
          <cell r="N36">
            <v>125.26041666666667</v>
          </cell>
        </row>
        <row r="37">
          <cell r="B37" t="str">
            <v>S011</v>
          </cell>
          <cell r="C37" t="str">
            <v>신올떡볶이소스</v>
          </cell>
          <cell r="D37" t="str">
            <v>Shin Alltokkbokki Sauce</v>
          </cell>
          <cell r="E37"/>
          <cell r="F37" t="str">
            <v>2kg*5pack</v>
          </cell>
          <cell r="G37">
            <v>10000</v>
          </cell>
          <cell r="H37"/>
          <cell r="I37">
            <v>450</v>
          </cell>
          <cell r="J37">
            <v>0.96</v>
          </cell>
          <cell r="K37" t="str">
            <v>g</v>
          </cell>
          <cell r="L37">
            <v>0</v>
          </cell>
          <cell r="M37"/>
          <cell r="N37">
            <v>0</v>
          </cell>
        </row>
        <row r="38">
          <cell r="B38" t="str">
            <v>S012</v>
          </cell>
          <cell r="C38" t="str">
            <v>통다리바베큐소스</v>
          </cell>
          <cell r="D38" t="str">
            <v>Jerk Barbeque Sauce</v>
          </cell>
          <cell r="E38"/>
          <cell r="F38" t="str">
            <v>2kg*5pack</v>
          </cell>
          <cell r="G38">
            <v>10000</v>
          </cell>
          <cell r="H38"/>
          <cell r="I38"/>
          <cell r="J38">
            <v>0.96</v>
          </cell>
          <cell r="K38" t="str">
            <v>g</v>
          </cell>
          <cell r="L38">
            <v>0</v>
          </cell>
          <cell r="M38"/>
          <cell r="N38">
            <v>0</v>
          </cell>
        </row>
        <row r="39">
          <cell r="B39" t="str">
            <v>S013</v>
          </cell>
          <cell r="C39" t="str">
            <v>자메이카소떡만나소스</v>
          </cell>
          <cell r="D39" t="str">
            <v>Jasoman Sauce</v>
          </cell>
          <cell r="E39"/>
          <cell r="F39" t="str">
            <v>2kg*6pack</v>
          </cell>
          <cell r="G39">
            <v>12000</v>
          </cell>
          <cell r="H39"/>
          <cell r="I39"/>
          <cell r="J39">
            <v>0.96</v>
          </cell>
          <cell r="K39" t="str">
            <v>g</v>
          </cell>
          <cell r="L39">
            <v>0</v>
          </cell>
          <cell r="M39"/>
          <cell r="N39">
            <v>0</v>
          </cell>
        </row>
        <row r="40">
          <cell r="B40" t="str">
            <v>S015</v>
          </cell>
          <cell r="C40" t="str">
            <v>BBQ양념소스</v>
          </cell>
          <cell r="D40" t="str">
            <v>BBQ New Yangnyum Sauce</v>
          </cell>
          <cell r="E40"/>
          <cell r="F40" t="str">
            <v>2kg*5pack</v>
          </cell>
          <cell r="G40">
            <v>10000</v>
          </cell>
          <cell r="H40"/>
          <cell r="I40">
            <v>256</v>
          </cell>
          <cell r="J40">
            <v>0.96</v>
          </cell>
          <cell r="K40" t="str">
            <v>g</v>
          </cell>
          <cell r="L40">
            <v>0</v>
          </cell>
          <cell r="M40"/>
          <cell r="N40">
            <v>0</v>
          </cell>
        </row>
        <row r="41">
          <cell r="B41" t="str">
            <v>S016</v>
          </cell>
          <cell r="C41" t="str">
            <v>메이플버터갈릭소스</v>
          </cell>
          <cell r="D41" t="str">
            <v>Maple Butter Garlic Sauce</v>
          </cell>
          <cell r="E41"/>
          <cell r="F41" t="str">
            <v>2kg*5bag</v>
          </cell>
          <cell r="G41">
            <v>10000</v>
          </cell>
          <cell r="H41"/>
          <cell r="I41">
            <v>367</v>
          </cell>
          <cell r="J41">
            <v>0.96</v>
          </cell>
          <cell r="K41" t="str">
            <v>g</v>
          </cell>
          <cell r="L41">
            <v>0</v>
          </cell>
          <cell r="M41"/>
          <cell r="N41">
            <v>0</v>
          </cell>
        </row>
        <row r="42">
          <cell r="B42" t="str">
            <v>S017</v>
          </cell>
          <cell r="C42"/>
          <cell r="D42"/>
          <cell r="E42"/>
          <cell r="F42"/>
          <cell r="G42"/>
          <cell r="H42"/>
          <cell r="I42" t="e">
            <v>#DIV/0!</v>
          </cell>
          <cell r="J42">
            <v>0.96</v>
          </cell>
          <cell r="K42" t="str">
            <v>g</v>
          </cell>
          <cell r="L42" t="str">
            <v>-</v>
          </cell>
          <cell r="M42"/>
          <cell r="N42" t="str">
            <v>-</v>
          </cell>
        </row>
        <row r="43">
          <cell r="B43" t="str">
            <v>S018</v>
          </cell>
          <cell r="C43"/>
          <cell r="D43"/>
          <cell r="E43"/>
          <cell r="F43"/>
          <cell r="G43"/>
          <cell r="H43"/>
          <cell r="I43" t="e">
            <v>#DIV/0!</v>
          </cell>
          <cell r="J43">
            <v>0.96</v>
          </cell>
          <cell r="K43" t="str">
            <v>g</v>
          </cell>
          <cell r="L43" t="str">
            <v>-</v>
          </cell>
          <cell r="M43"/>
          <cell r="N43" t="str">
            <v>-</v>
          </cell>
        </row>
        <row r="44">
          <cell r="B44" t="str">
            <v>S020</v>
          </cell>
          <cell r="C44" t="str">
            <v>레몬보이</v>
          </cell>
          <cell r="D44" t="str">
            <v>Lemon Boi</v>
          </cell>
          <cell r="E44"/>
          <cell r="F44" t="str">
            <v>30ea</v>
          </cell>
          <cell r="G44">
            <v>30</v>
          </cell>
          <cell r="H44"/>
          <cell r="I44">
            <v>0</v>
          </cell>
          <cell r="J44">
            <v>0.96</v>
          </cell>
          <cell r="K44" t="str">
            <v>ea</v>
          </cell>
          <cell r="L44">
            <v>0</v>
          </cell>
          <cell r="M44"/>
          <cell r="N44">
            <v>0</v>
          </cell>
        </row>
        <row r="45">
          <cell r="B45" t="str">
            <v>S021</v>
          </cell>
          <cell r="C45" t="str">
            <v>켓첩</v>
          </cell>
          <cell r="D45" t="str">
            <v>Ketchup</v>
          </cell>
          <cell r="E45"/>
          <cell r="F45" t="str">
            <v>1Kg*10pack</v>
          </cell>
          <cell r="G45">
            <v>10000</v>
          </cell>
          <cell r="H45">
            <v>156400</v>
          </cell>
          <cell r="I45">
            <v>9.5716034271725832</v>
          </cell>
          <cell r="J45">
            <v>0.96</v>
          </cell>
          <cell r="K45" t="str">
            <v>g</v>
          </cell>
          <cell r="L45">
            <v>16.291666666666668</v>
          </cell>
          <cell r="M45"/>
          <cell r="N45">
            <v>16.291666666666668</v>
          </cell>
        </row>
        <row r="46">
          <cell r="B46" t="str">
            <v>S027</v>
          </cell>
          <cell r="C46" t="str">
            <v>굴소스</v>
          </cell>
          <cell r="D46" t="str">
            <v>Oyster Sauce</v>
          </cell>
          <cell r="E46"/>
          <cell r="F46" t="str">
            <v>770g</v>
          </cell>
          <cell r="G46">
            <v>770</v>
          </cell>
          <cell r="H46">
            <v>54501</v>
          </cell>
          <cell r="I46">
            <v>3.3354345165238679</v>
          </cell>
          <cell r="J46">
            <v>0.99</v>
          </cell>
          <cell r="K46" t="str">
            <v>g</v>
          </cell>
          <cell r="L46">
            <v>71.495474222746964</v>
          </cell>
          <cell r="M46"/>
          <cell r="N46">
            <v>71.495474222746964</v>
          </cell>
        </row>
        <row r="47">
          <cell r="B47" t="str">
            <v>S028</v>
          </cell>
          <cell r="C47" t="str">
            <v>고추장</v>
          </cell>
          <cell r="D47" t="str">
            <v>Hot Pepper paste</v>
          </cell>
          <cell r="E47"/>
          <cell r="F47" t="str">
            <v>2.8kg</v>
          </cell>
          <cell r="G47">
            <v>28000</v>
          </cell>
          <cell r="H47">
            <v>71793.960000000006</v>
          </cell>
          <cell r="I47">
            <v>4.3937552019583848</v>
          </cell>
          <cell r="J47">
            <v>0.99</v>
          </cell>
          <cell r="K47" t="str">
            <v>g</v>
          </cell>
          <cell r="L47">
            <v>2.589969696969697</v>
          </cell>
          <cell r="M47"/>
          <cell r="N47">
            <v>2.589969696969697</v>
          </cell>
        </row>
        <row r="48">
          <cell r="B48" t="str">
            <v>S029</v>
          </cell>
          <cell r="C48" t="str">
            <v>간장(진)</v>
          </cell>
          <cell r="D48" t="str">
            <v>Soy Sauce</v>
          </cell>
          <cell r="E48"/>
          <cell r="F48" t="str">
            <v>1kg</v>
          </cell>
          <cell r="G48">
            <v>1000</v>
          </cell>
          <cell r="H48">
            <v>79549.8</v>
          </cell>
          <cell r="I48">
            <v>4.8684088127294984</v>
          </cell>
          <cell r="J48">
            <v>0.99</v>
          </cell>
          <cell r="K48" t="str">
            <v>g</v>
          </cell>
          <cell r="L48">
            <v>80.353333333333339</v>
          </cell>
          <cell r="M48"/>
          <cell r="N48">
            <v>80.353333333333339</v>
          </cell>
        </row>
        <row r="49">
          <cell r="B49" t="str">
            <v>S039</v>
          </cell>
          <cell r="C49" t="str">
            <v>마요네즈</v>
          </cell>
          <cell r="D49" t="str">
            <v>KEWPIE CHEF STYLE MAYO</v>
          </cell>
          <cell r="E49"/>
          <cell r="F49" t="str">
            <v>3kg</v>
          </cell>
          <cell r="G49">
            <v>3000</v>
          </cell>
          <cell r="H49">
            <v>144999.9</v>
          </cell>
          <cell r="I49">
            <v>8.8739228886168906</v>
          </cell>
          <cell r="J49">
            <v>0.99</v>
          </cell>
          <cell r="K49" t="str">
            <v>g</v>
          </cell>
          <cell r="L49">
            <v>48.82151515151515</v>
          </cell>
          <cell r="M49"/>
          <cell r="N49">
            <v>48.82151515151515</v>
          </cell>
        </row>
        <row r="50">
          <cell r="B50" t="str">
            <v>S059</v>
          </cell>
          <cell r="C50" t="str">
            <v>불닭소스</v>
          </cell>
          <cell r="D50" t="str">
            <v>Buldak Sauce</v>
          </cell>
          <cell r="E50"/>
          <cell r="F50" t="str">
            <v>2kg</v>
          </cell>
          <cell r="G50">
            <v>2000</v>
          </cell>
          <cell r="H50">
            <v>130000</v>
          </cell>
          <cell r="I50">
            <v>7.9559363525091795</v>
          </cell>
          <cell r="J50">
            <v>0.99</v>
          </cell>
          <cell r="K50" t="str">
            <v>g</v>
          </cell>
          <cell r="L50">
            <v>65.656565656565661</v>
          </cell>
          <cell r="M50"/>
          <cell r="N50">
            <v>65.656565656565661</v>
          </cell>
        </row>
        <row r="51">
          <cell r="B51" t="str">
            <v>S060</v>
          </cell>
          <cell r="C51"/>
          <cell r="D51" t="str">
            <v>Dark Soy Sauce</v>
          </cell>
          <cell r="E51"/>
          <cell r="F51" t="str">
            <v>500g</v>
          </cell>
          <cell r="G51">
            <v>500</v>
          </cell>
          <cell r="H51">
            <v>36741</v>
          </cell>
          <cell r="I51"/>
          <cell r="J51">
            <v>1</v>
          </cell>
          <cell r="K51" t="str">
            <v>g</v>
          </cell>
          <cell r="L51">
            <v>73.481999999999999</v>
          </cell>
          <cell r="M51"/>
          <cell r="N51">
            <v>73.481999999999999</v>
          </cell>
        </row>
        <row r="52">
          <cell r="B52" t="str">
            <v>CH001</v>
          </cell>
          <cell r="C52" t="str">
            <v>신선육 (1.3kg)</v>
          </cell>
          <cell r="D52" t="str">
            <v>Injected Whole Chicken (1.25kg)</v>
          </cell>
          <cell r="E52"/>
          <cell r="F52" t="str">
            <v>1.25kg</v>
          </cell>
          <cell r="G52">
            <v>1250</v>
          </cell>
          <cell r="H52">
            <v>44375</v>
          </cell>
          <cell r="I52">
            <v>2.7157282741738067</v>
          </cell>
          <cell r="J52">
            <v>1</v>
          </cell>
          <cell r="K52" t="str">
            <v>g</v>
          </cell>
          <cell r="L52">
            <v>35.5</v>
          </cell>
          <cell r="M52"/>
          <cell r="N52">
            <v>35.5</v>
          </cell>
        </row>
        <row r="53">
          <cell r="B53" t="str">
            <v>CH008</v>
          </cell>
          <cell r="C53" t="str">
            <v>순살원육 (엉치)</v>
          </cell>
          <cell r="D53" t="str">
            <v>Boneless Chicken (Thigh)</v>
          </cell>
          <cell r="E53"/>
          <cell r="F53" t="str">
            <v>1Kg</v>
          </cell>
          <cell r="G53">
            <v>1000</v>
          </cell>
          <cell r="H53">
            <v>42600</v>
          </cell>
          <cell r="I53">
            <v>2.6070991432068542</v>
          </cell>
          <cell r="J53">
            <v>0.98</v>
          </cell>
          <cell r="K53" t="str">
            <v>g</v>
          </cell>
          <cell r="L53">
            <v>43.469387755102041</v>
          </cell>
          <cell r="M53"/>
          <cell r="N53">
            <v>43.469387755102041</v>
          </cell>
        </row>
        <row r="54">
          <cell r="B54" t="str">
            <v>CH009</v>
          </cell>
          <cell r="C54" t="str">
            <v>순살원육 (가슴)</v>
          </cell>
          <cell r="D54" t="str">
            <v>Boneless Chicken (Breast)</v>
          </cell>
          <cell r="E54"/>
          <cell r="F54" t="str">
            <v>1kg</v>
          </cell>
          <cell r="G54">
            <v>1000</v>
          </cell>
          <cell r="H54">
            <v>48000</v>
          </cell>
          <cell r="I54">
            <v>2.9375764993880047</v>
          </cell>
          <cell r="J54">
            <v>0.98</v>
          </cell>
          <cell r="K54" t="str">
            <v>g</v>
          </cell>
          <cell r="L54">
            <v>48.979591836734691</v>
          </cell>
          <cell r="M54"/>
          <cell r="N54">
            <v>48.979591836734691</v>
          </cell>
        </row>
        <row r="55">
          <cell r="B55" t="str">
            <v>CH015</v>
          </cell>
          <cell r="C55" t="str">
            <v>VAP 순살</v>
          </cell>
          <cell r="D55" t="str">
            <v>VAP Boneless Chicken</v>
          </cell>
          <cell r="E55"/>
          <cell r="F55" t="str">
            <v>1kg</v>
          </cell>
          <cell r="G55">
            <v>1000</v>
          </cell>
          <cell r="H55"/>
          <cell r="I55">
            <v>0</v>
          </cell>
          <cell r="J55">
            <v>1</v>
          </cell>
          <cell r="K55" t="str">
            <v>g</v>
          </cell>
          <cell r="L55">
            <v>0</v>
          </cell>
          <cell r="M55"/>
          <cell r="N55">
            <v>0</v>
          </cell>
        </row>
        <row r="56">
          <cell r="B56" t="str">
            <v>CH016</v>
          </cell>
          <cell r="C56" t="str">
            <v>VAP 속안심</v>
          </cell>
          <cell r="D56" t="str">
            <v>VAP Chicken Tender</v>
          </cell>
          <cell r="E56"/>
          <cell r="F56" t="str">
            <v>470g</v>
          </cell>
          <cell r="G56">
            <v>470</v>
          </cell>
          <cell r="H56">
            <v>41899.89</v>
          </cell>
          <cell r="I56">
            <v>2.5642527539779683</v>
          </cell>
          <cell r="J56">
            <v>1</v>
          </cell>
          <cell r="K56" t="str">
            <v>g</v>
          </cell>
          <cell r="L56">
            <v>89.148702127659575</v>
          </cell>
          <cell r="M56"/>
          <cell r="N56">
            <v>89.148702127659575</v>
          </cell>
        </row>
        <row r="57">
          <cell r="B57" t="str">
            <v>CH002</v>
          </cell>
          <cell r="C57" t="str">
            <v>부분육 (1.3kg)</v>
          </cell>
          <cell r="D57" t="str">
            <v>Injected Partial Chicken (1.3kg)</v>
          </cell>
          <cell r="E57"/>
          <cell r="F57" t="str">
            <v>1.3kg</v>
          </cell>
          <cell r="G57">
            <v>1300</v>
          </cell>
          <cell r="H57">
            <v>43250</v>
          </cell>
          <cell r="I57">
            <v>2.6468788249694004</v>
          </cell>
          <cell r="J57">
            <v>0.95</v>
          </cell>
          <cell r="K57" t="str">
            <v>g</v>
          </cell>
          <cell r="L57">
            <v>35.020242914979754</v>
          </cell>
          <cell r="M57"/>
          <cell r="N57">
            <v>35.020242914979754</v>
          </cell>
        </row>
        <row r="58">
          <cell r="B58" t="str">
            <v>M016</v>
          </cell>
          <cell r="C58" t="str">
            <v>어묵</v>
          </cell>
          <cell r="D58" t="str">
            <v>Fish Cake</v>
          </cell>
          <cell r="E58"/>
          <cell r="F58" t="str">
            <v>1kg</v>
          </cell>
          <cell r="G58">
            <v>1000</v>
          </cell>
          <cell r="H58">
            <v>61050</v>
          </cell>
          <cell r="I58">
            <v>3.7362301101591187</v>
          </cell>
          <cell r="J58">
            <v>1</v>
          </cell>
          <cell r="K58" t="str">
            <v>g</v>
          </cell>
          <cell r="L58">
            <v>61.05</v>
          </cell>
          <cell r="M58"/>
          <cell r="N58">
            <v>61.05</v>
          </cell>
        </row>
        <row r="59">
          <cell r="B59" t="str">
            <v>O002</v>
          </cell>
          <cell r="C59" t="str">
            <v>참기름</v>
          </cell>
          <cell r="D59" t="str">
            <v>Sesame Oil</v>
          </cell>
          <cell r="E59"/>
          <cell r="F59" t="str">
            <v>1.8L</v>
          </cell>
          <cell r="G59">
            <v>1800</v>
          </cell>
          <cell r="H59">
            <v>179487</v>
          </cell>
          <cell r="I59">
            <v>10.984516523867809</v>
          </cell>
          <cell r="J59">
            <v>0.99</v>
          </cell>
          <cell r="K59" t="str">
            <v>g</v>
          </cell>
          <cell r="L59">
            <v>100.72222222222223</v>
          </cell>
          <cell r="M59"/>
          <cell r="N59">
            <v>100.72222222222223</v>
          </cell>
        </row>
        <row r="60">
          <cell r="B60" t="str">
            <v>O009</v>
          </cell>
          <cell r="C60" t="str">
            <v>팜유</v>
          </cell>
          <cell r="D60" t="str">
            <v>Palm Oil</v>
          </cell>
          <cell r="E60"/>
          <cell r="F60" t="str">
            <v>15kg</v>
          </cell>
          <cell r="G60">
            <v>15000</v>
          </cell>
          <cell r="H60">
            <v>381750</v>
          </cell>
          <cell r="I60">
            <v>23.362913096695227</v>
          </cell>
          <cell r="J60">
            <v>0.99</v>
          </cell>
          <cell r="K60" t="str">
            <v>g</v>
          </cell>
          <cell r="L60">
            <v>25.707070707070706</v>
          </cell>
          <cell r="M60"/>
          <cell r="N60">
            <v>25.707070707070706</v>
          </cell>
        </row>
        <row r="61">
          <cell r="B61" t="str">
            <v>V003</v>
          </cell>
          <cell r="C61" t="str">
            <v>쪽파</v>
          </cell>
          <cell r="D61" t="str">
            <v>Scallion(Green Onion)</v>
          </cell>
          <cell r="E61"/>
          <cell r="F61" t="str">
            <v>1kg</v>
          </cell>
          <cell r="G61">
            <v>1000</v>
          </cell>
          <cell r="H61">
            <v>26320</v>
          </cell>
          <cell r="I61">
            <v>1.6107711138310894</v>
          </cell>
          <cell r="J61">
            <v>0.95</v>
          </cell>
          <cell r="K61" t="str">
            <v>g</v>
          </cell>
          <cell r="L61">
            <v>27.705263157894738</v>
          </cell>
          <cell r="M61"/>
          <cell r="N61">
            <v>27.705263157894738</v>
          </cell>
        </row>
        <row r="62">
          <cell r="B62" t="str">
            <v>V004</v>
          </cell>
          <cell r="C62" t="str">
            <v>청고추</v>
          </cell>
          <cell r="D62" t="str">
            <v>Green Chili Pepper</v>
          </cell>
          <cell r="E62"/>
          <cell r="F62" t="str">
            <v>1kg</v>
          </cell>
          <cell r="G62">
            <v>1000</v>
          </cell>
          <cell r="H62">
            <v>11000</v>
          </cell>
          <cell r="I62">
            <v>0.67319461444308448</v>
          </cell>
          <cell r="J62">
            <v>0.95</v>
          </cell>
          <cell r="K62" t="str">
            <v>g</v>
          </cell>
          <cell r="L62">
            <v>11.578947368421053</v>
          </cell>
          <cell r="M62"/>
          <cell r="N62">
            <v>11.578947368421053</v>
          </cell>
        </row>
        <row r="63">
          <cell r="B63" t="str">
            <v>V005</v>
          </cell>
          <cell r="C63" t="str">
            <v>홍고추</v>
          </cell>
          <cell r="D63" t="str">
            <v>Red Chili Pepper</v>
          </cell>
          <cell r="E63"/>
          <cell r="F63" t="str">
            <v>1kg</v>
          </cell>
          <cell r="G63">
            <v>1000</v>
          </cell>
          <cell r="H63">
            <v>13000</v>
          </cell>
          <cell r="I63">
            <v>0.79559363525091797</v>
          </cell>
          <cell r="J63">
            <v>0.95</v>
          </cell>
          <cell r="K63" t="str">
            <v>g</v>
          </cell>
          <cell r="L63">
            <v>13.684210526315789</v>
          </cell>
          <cell r="M63"/>
          <cell r="N63">
            <v>13.684210526315789</v>
          </cell>
        </row>
        <row r="64">
          <cell r="B64" t="str">
            <v>V007</v>
          </cell>
          <cell r="C64" t="str">
            <v xml:space="preserve">양파 </v>
          </cell>
          <cell r="D64" t="str">
            <v>White Onion</v>
          </cell>
          <cell r="E64"/>
          <cell r="F64" t="str">
            <v>1kg</v>
          </cell>
          <cell r="G64">
            <v>1000</v>
          </cell>
          <cell r="H64">
            <v>31050</v>
          </cell>
          <cell r="I64">
            <v>1.9002447980416157</v>
          </cell>
          <cell r="J64">
            <v>0.97</v>
          </cell>
          <cell r="K64" t="str">
            <v>g</v>
          </cell>
          <cell r="L64">
            <v>32.010309278350519</v>
          </cell>
          <cell r="M64"/>
          <cell r="N64">
            <v>32.010309278350519</v>
          </cell>
        </row>
        <row r="65">
          <cell r="B65" t="str">
            <v>V008</v>
          </cell>
          <cell r="C65" t="str">
            <v>쌀</v>
          </cell>
          <cell r="D65" t="str">
            <v>Rice</v>
          </cell>
          <cell r="E65"/>
          <cell r="F65" t="str">
            <v>1kg</v>
          </cell>
          <cell r="G65">
            <v>1000</v>
          </cell>
          <cell r="H65">
            <v>14700</v>
          </cell>
          <cell r="I65">
            <v>0.89963280293757653</v>
          </cell>
          <cell r="J65">
            <v>2</v>
          </cell>
          <cell r="K65" t="str">
            <v>g</v>
          </cell>
          <cell r="L65">
            <v>7.35</v>
          </cell>
          <cell r="M65"/>
          <cell r="N65">
            <v>7.35</v>
          </cell>
        </row>
        <row r="66">
          <cell r="B66" t="str">
            <v>V009</v>
          </cell>
          <cell r="C66" t="str">
            <v>당근</v>
          </cell>
          <cell r="D66" t="str">
            <v>Carrot</v>
          </cell>
          <cell r="E66"/>
          <cell r="F66" t="str">
            <v>1kg</v>
          </cell>
          <cell r="G66">
            <v>1000</v>
          </cell>
          <cell r="H66">
            <v>20530</v>
          </cell>
          <cell r="I66">
            <v>1.2564259485924112</v>
          </cell>
          <cell r="J66">
            <v>0.95</v>
          </cell>
          <cell r="K66" t="str">
            <v>g</v>
          </cell>
          <cell r="L66">
            <v>21.610526315789475</v>
          </cell>
          <cell r="M66"/>
          <cell r="N66">
            <v>21.610526315789475</v>
          </cell>
        </row>
        <row r="67">
          <cell r="B67" t="str">
            <v>V024</v>
          </cell>
          <cell r="C67" t="str">
            <v>목이버섯</v>
          </cell>
          <cell r="D67" t="str">
            <v>Ear Mushroom</v>
          </cell>
          <cell r="E67"/>
          <cell r="F67" t="str">
            <v>1kg</v>
          </cell>
          <cell r="G67">
            <v>1000</v>
          </cell>
          <cell r="H67">
            <v>105030</v>
          </cell>
          <cell r="I67">
            <v>6.4277845777233784</v>
          </cell>
          <cell r="J67">
            <v>0.95</v>
          </cell>
          <cell r="K67" t="str">
            <v>g</v>
          </cell>
          <cell r="L67">
            <v>110.55789473684212</v>
          </cell>
          <cell r="M67"/>
          <cell r="N67">
            <v>110.55789473684212</v>
          </cell>
        </row>
        <row r="68">
          <cell r="B68" t="str">
            <v>V031</v>
          </cell>
          <cell r="C68" t="str">
            <v>양배추</v>
          </cell>
          <cell r="D68" t="str">
            <v>Cabbage</v>
          </cell>
          <cell r="E68"/>
          <cell r="F68" t="str">
            <v>1Kg</v>
          </cell>
          <cell r="G68">
            <v>1000</v>
          </cell>
          <cell r="H68">
            <v>11500</v>
          </cell>
          <cell r="I68">
            <v>0.70379436964504283</v>
          </cell>
          <cell r="J68">
            <v>0.95</v>
          </cell>
          <cell r="K68" t="str">
            <v>g</v>
          </cell>
          <cell r="L68">
            <v>12.105263157894738</v>
          </cell>
          <cell r="M68"/>
          <cell r="N68">
            <v>12.105263157894738</v>
          </cell>
        </row>
        <row r="69">
          <cell r="B69" t="str">
            <v>V033</v>
          </cell>
          <cell r="C69" t="str">
            <v>파프리카(빨강)</v>
          </cell>
          <cell r="D69" t="str">
            <v>Paprika(Red)</v>
          </cell>
          <cell r="E69"/>
          <cell r="F69" t="str">
            <v>1Kg</v>
          </cell>
          <cell r="G69">
            <v>1000</v>
          </cell>
          <cell r="H69">
            <v>14500</v>
          </cell>
          <cell r="I69">
            <v>0.88739290085679312</v>
          </cell>
          <cell r="J69">
            <v>0.95</v>
          </cell>
          <cell r="K69" t="str">
            <v>g</v>
          </cell>
          <cell r="L69">
            <v>15.263157894736842</v>
          </cell>
          <cell r="M69"/>
          <cell r="N69">
            <v>15.263157894736842</v>
          </cell>
        </row>
        <row r="70">
          <cell r="B70" t="str">
            <v>V035</v>
          </cell>
          <cell r="C70" t="str">
            <v>파프리카(초록)</v>
          </cell>
          <cell r="D70" t="str">
            <v>Paprika(Green)</v>
          </cell>
          <cell r="E70"/>
          <cell r="F70" t="str">
            <v>1Kg</v>
          </cell>
          <cell r="G70">
            <v>1000</v>
          </cell>
          <cell r="H70">
            <v>58000</v>
          </cell>
          <cell r="I70">
            <v>3.5495716034271725</v>
          </cell>
          <cell r="J70">
            <v>0.95</v>
          </cell>
          <cell r="K70" t="str">
            <v>g</v>
          </cell>
          <cell r="L70">
            <v>61.05263157894737</v>
          </cell>
          <cell r="M70"/>
          <cell r="N70">
            <v>61.05263157894737</v>
          </cell>
        </row>
        <row r="71">
          <cell r="B71" t="str">
            <v>V041</v>
          </cell>
          <cell r="C71" t="str">
            <v>옥수수(캔)</v>
          </cell>
          <cell r="D71" t="str">
            <v>Corn(Canned)</v>
          </cell>
          <cell r="E71"/>
          <cell r="F71" t="str">
            <v>420g</v>
          </cell>
          <cell r="G71">
            <v>420</v>
          </cell>
          <cell r="H71">
            <v>19900</v>
          </cell>
          <cell r="I71">
            <v>1.2178702570379436</v>
          </cell>
          <cell r="J71">
            <v>0.99</v>
          </cell>
          <cell r="K71" t="str">
            <v>g</v>
          </cell>
          <cell r="L71">
            <v>47.85954785954786</v>
          </cell>
          <cell r="M71"/>
          <cell r="N71">
            <v>47.85954785954786</v>
          </cell>
        </row>
        <row r="72">
          <cell r="B72" t="str">
            <v>V052</v>
          </cell>
          <cell r="C72" t="str">
            <v>레몬</v>
          </cell>
          <cell r="D72" t="str">
            <v>Lemon</v>
          </cell>
          <cell r="E72"/>
          <cell r="F72" t="str">
            <v>1kg</v>
          </cell>
          <cell r="G72">
            <v>1000</v>
          </cell>
          <cell r="H72">
            <v>35000</v>
          </cell>
          <cell r="I72">
            <v>2.1419828641370868</v>
          </cell>
          <cell r="J72">
            <v>0.98</v>
          </cell>
          <cell r="K72" t="str">
            <v>ea</v>
          </cell>
          <cell r="L72">
            <v>35.714285714285715</v>
          </cell>
          <cell r="M72"/>
          <cell r="N72">
            <v>35.714285714285715</v>
          </cell>
        </row>
        <row r="73">
          <cell r="B73" t="str">
            <v>I001</v>
          </cell>
          <cell r="C73" t="str">
            <v>정수</v>
          </cell>
          <cell r="D73" t="str">
            <v xml:space="preserve">Purified Water </v>
          </cell>
          <cell r="E73"/>
          <cell r="F73"/>
          <cell r="G73"/>
          <cell r="H73"/>
          <cell r="I73">
            <v>0</v>
          </cell>
          <cell r="J73"/>
          <cell r="K73" t="str">
            <v>g</v>
          </cell>
          <cell r="L73" t="str">
            <v>-</v>
          </cell>
          <cell r="M73"/>
          <cell r="N73" t="str">
            <v>-</v>
          </cell>
        </row>
        <row r="74">
          <cell r="B74" t="str">
            <v>I002</v>
          </cell>
          <cell r="C74" t="str">
            <v>소금</v>
          </cell>
          <cell r="D74" t="str">
            <v>Salt</v>
          </cell>
          <cell r="E74"/>
          <cell r="F74" t="str">
            <v>1kg</v>
          </cell>
          <cell r="G74">
            <v>1000</v>
          </cell>
          <cell r="H74">
            <v>16500</v>
          </cell>
          <cell r="I74">
            <v>1.0097919216646267</v>
          </cell>
          <cell r="J74">
            <v>0.99</v>
          </cell>
          <cell r="K74" t="str">
            <v>g</v>
          </cell>
          <cell r="L74">
            <v>16.666666666666668</v>
          </cell>
          <cell r="M74"/>
          <cell r="N74">
            <v>16.666666666666668</v>
          </cell>
        </row>
        <row r="75">
          <cell r="B75" t="str">
            <v>I003</v>
          </cell>
          <cell r="C75" t="str">
            <v>깨</v>
          </cell>
          <cell r="D75" t="str">
            <v>Sesame Seeds</v>
          </cell>
          <cell r="E75"/>
          <cell r="F75" t="str">
            <v>1kg</v>
          </cell>
          <cell r="G75">
            <v>1000</v>
          </cell>
          <cell r="H75">
            <v>76590</v>
          </cell>
          <cell r="I75">
            <v>4.687270501835985</v>
          </cell>
          <cell r="J75">
            <v>0.99</v>
          </cell>
          <cell r="K75" t="str">
            <v>g</v>
          </cell>
          <cell r="L75">
            <v>77.363636363636374</v>
          </cell>
          <cell r="M75"/>
          <cell r="N75">
            <v>77.363636363636374</v>
          </cell>
        </row>
        <row r="76">
          <cell r="B76" t="str">
            <v>I004</v>
          </cell>
          <cell r="C76" t="str">
            <v>다진마늘</v>
          </cell>
          <cell r="D76" t="str">
            <v>minced Garlic</v>
          </cell>
          <cell r="E76"/>
          <cell r="F76" t="str">
            <v>1kg</v>
          </cell>
          <cell r="G76">
            <v>1000</v>
          </cell>
          <cell r="H76">
            <v>45000</v>
          </cell>
          <cell r="I76">
            <v>2.7539779681762546</v>
          </cell>
          <cell r="J76">
            <v>0.99</v>
          </cell>
          <cell r="K76" t="str">
            <v>g</v>
          </cell>
          <cell r="L76">
            <v>45.454545454545453</v>
          </cell>
          <cell r="M76"/>
          <cell r="N76">
            <v>45.454545454545453</v>
          </cell>
        </row>
        <row r="77">
          <cell r="B77" t="str">
            <v>I005</v>
          </cell>
          <cell r="C77" t="str">
            <v>땅콩분태</v>
          </cell>
          <cell r="D77" t="str">
            <v>Crushed Peanut</v>
          </cell>
          <cell r="E77"/>
          <cell r="F77" t="str">
            <v>1kg</v>
          </cell>
          <cell r="G77">
            <v>1000</v>
          </cell>
          <cell r="H77">
            <v>61900</v>
          </cell>
          <cell r="I77">
            <v>3.7882496940024479</v>
          </cell>
          <cell r="J77">
            <v>0.99</v>
          </cell>
          <cell r="K77" t="str">
            <v>g</v>
          </cell>
          <cell r="L77">
            <v>62.525252525252526</v>
          </cell>
          <cell r="M77"/>
          <cell r="N77">
            <v>62.525252525252526</v>
          </cell>
        </row>
        <row r="78">
          <cell r="B78" t="str">
            <v>I013</v>
          </cell>
          <cell r="C78" t="str">
            <v>미원</v>
          </cell>
          <cell r="D78" t="str">
            <v>MSG(Ajinomoto)</v>
          </cell>
          <cell r="E78"/>
          <cell r="F78" t="str">
            <v>1kg</v>
          </cell>
          <cell r="G78">
            <v>1000</v>
          </cell>
          <cell r="H78">
            <v>52400</v>
          </cell>
          <cell r="I78">
            <v>3.2068543451652385</v>
          </cell>
          <cell r="J78">
            <v>0.99</v>
          </cell>
          <cell r="K78" t="str">
            <v>g</v>
          </cell>
          <cell r="L78">
            <v>52.929292929292927</v>
          </cell>
          <cell r="M78"/>
          <cell r="N78">
            <v>52.929292929292927</v>
          </cell>
        </row>
        <row r="79">
          <cell r="B79" t="str">
            <v>I015</v>
          </cell>
          <cell r="C79" t="str">
            <v>계란</v>
          </cell>
          <cell r="D79" t="str">
            <v>Egg</v>
          </cell>
          <cell r="E79"/>
          <cell r="F79" t="str">
            <v>1kg</v>
          </cell>
          <cell r="G79">
            <v>1000</v>
          </cell>
          <cell r="H79">
            <v>32000</v>
          </cell>
          <cell r="I79">
            <v>1.9583843329253365</v>
          </cell>
          <cell r="J79">
            <v>0.99</v>
          </cell>
          <cell r="K79" t="str">
            <v>g</v>
          </cell>
          <cell r="L79">
            <v>32.323232323232325</v>
          </cell>
          <cell r="M79"/>
          <cell r="N79">
            <v>32.323232323232325</v>
          </cell>
        </row>
        <row r="80">
          <cell r="B80" t="str">
            <v>I021</v>
          </cell>
          <cell r="C80" t="str">
            <v>후추</v>
          </cell>
          <cell r="D80" t="str">
            <v>Black Pepper</v>
          </cell>
          <cell r="E80"/>
          <cell r="F80" t="str">
            <v>500g</v>
          </cell>
          <cell r="G80">
            <v>500</v>
          </cell>
          <cell r="H80">
            <v>91000</v>
          </cell>
          <cell r="I80">
            <v>5.5691554467564259</v>
          </cell>
          <cell r="J80">
            <v>0.99</v>
          </cell>
          <cell r="K80" t="str">
            <v>g</v>
          </cell>
          <cell r="L80">
            <v>183.83838383838383</v>
          </cell>
          <cell r="M80"/>
          <cell r="N80">
            <v>183.83838383838383</v>
          </cell>
        </row>
        <row r="81">
          <cell r="B81" t="str">
            <v>I027</v>
          </cell>
          <cell r="C81" t="str">
            <v>백설탕</v>
          </cell>
          <cell r="D81" t="str">
            <v>White Sugar</v>
          </cell>
          <cell r="E81"/>
          <cell r="F81" t="str">
            <v>1kg</v>
          </cell>
          <cell r="G81">
            <v>1000</v>
          </cell>
          <cell r="H81">
            <v>21000</v>
          </cell>
          <cell r="I81">
            <v>1.2851897184822521</v>
          </cell>
          <cell r="J81">
            <v>0.99</v>
          </cell>
          <cell r="K81" t="str">
            <v>g</v>
          </cell>
          <cell r="L81">
            <v>21.212121212121211</v>
          </cell>
          <cell r="M81"/>
          <cell r="N81">
            <v>21.212121212121211</v>
          </cell>
        </row>
        <row r="82">
          <cell r="B82" t="str">
            <v>I031</v>
          </cell>
          <cell r="C82" t="str">
            <v>떡볶이떡(쌀떡)</v>
          </cell>
          <cell r="D82" t="str">
            <v xml:space="preserve">Rice Cake </v>
          </cell>
          <cell r="E82"/>
          <cell r="F82" t="str">
            <v>1kg</v>
          </cell>
          <cell r="G82">
            <v>1000</v>
          </cell>
          <cell r="H82">
            <v>53465</v>
          </cell>
          <cell r="I82">
            <v>3.2720318237454102</v>
          </cell>
          <cell r="J82">
            <v>0.99</v>
          </cell>
          <cell r="K82" t="str">
            <v>g</v>
          </cell>
          <cell r="L82">
            <v>54.005050505050512</v>
          </cell>
          <cell r="M82"/>
          <cell r="N82">
            <v>54.005050505050512</v>
          </cell>
        </row>
        <row r="83">
          <cell r="B83" t="str">
            <v>I034</v>
          </cell>
          <cell r="C83" t="str">
            <v>고추가루(고운)</v>
          </cell>
          <cell r="D83" t="str">
            <v>Red Pepper Powder (Fine) - JAVA 4 Bubuk cabe padas</v>
          </cell>
          <cell r="E83"/>
          <cell r="F83" t="str">
            <v>1kg</v>
          </cell>
          <cell r="G83">
            <v>1000</v>
          </cell>
          <cell r="H83">
            <v>88800</v>
          </cell>
          <cell r="I83">
            <v>5.434516523867809</v>
          </cell>
          <cell r="J83">
            <v>0.99</v>
          </cell>
          <cell r="K83" t="str">
            <v>g</v>
          </cell>
          <cell r="L83">
            <v>89.696969696969688</v>
          </cell>
          <cell r="M83"/>
          <cell r="N83">
            <v>89.696969696969688</v>
          </cell>
        </row>
        <row r="84">
          <cell r="B84" t="str">
            <v>I035</v>
          </cell>
          <cell r="C84" t="str">
            <v>미림</v>
          </cell>
          <cell r="D84" t="str">
            <v>Mirom (Cooking Wine)</v>
          </cell>
          <cell r="E84"/>
          <cell r="F84" t="str">
            <v>500ml</v>
          </cell>
          <cell r="G84">
            <v>500</v>
          </cell>
          <cell r="H84">
            <v>38000</v>
          </cell>
          <cell r="I84">
            <v>2.3255813953488373</v>
          </cell>
          <cell r="J84">
            <v>0.99</v>
          </cell>
          <cell r="K84" t="str">
            <v>g</v>
          </cell>
          <cell r="L84">
            <v>76.767676767676775</v>
          </cell>
          <cell r="M84"/>
          <cell r="N84">
            <v>76.767676767676775</v>
          </cell>
        </row>
        <row r="85">
          <cell r="B85" t="str">
            <v>I039</v>
          </cell>
          <cell r="C85" t="str">
            <v>물엿</v>
          </cell>
          <cell r="D85" t="str">
            <v>Corn Syrup</v>
          </cell>
          <cell r="E85"/>
          <cell r="F85" t="str">
            <v>3kg</v>
          </cell>
          <cell r="G85">
            <v>3000</v>
          </cell>
          <cell r="H85">
            <v>182000</v>
          </cell>
          <cell r="I85">
            <v>11.138310893512852</v>
          </cell>
          <cell r="J85">
            <v>0.99</v>
          </cell>
          <cell r="K85" t="str">
            <v>g</v>
          </cell>
          <cell r="L85">
            <v>61.27946127946128</v>
          </cell>
          <cell r="M85"/>
          <cell r="N85">
            <v>61.27946127946128</v>
          </cell>
        </row>
        <row r="86">
          <cell r="B86" t="str">
            <v>I040</v>
          </cell>
          <cell r="C86" t="str">
            <v>식초</v>
          </cell>
          <cell r="D86" t="str">
            <v>Vinegar</v>
          </cell>
          <cell r="E86"/>
          <cell r="F86" t="str">
            <v>473 ml</v>
          </cell>
          <cell r="G86">
            <v>473</v>
          </cell>
          <cell r="H86">
            <v>35700</v>
          </cell>
          <cell r="I86">
            <v>2.1848225214198287</v>
          </cell>
          <cell r="J86">
            <v>0.99</v>
          </cell>
          <cell r="K86" t="str">
            <v>g</v>
          </cell>
          <cell r="L86">
            <v>76.238067781408162</v>
          </cell>
          <cell r="M86"/>
          <cell r="N86">
            <v>76.238067781408162</v>
          </cell>
        </row>
        <row r="87">
          <cell r="B87" t="str">
            <v>I041</v>
          </cell>
          <cell r="C87" t="str">
            <v>레몬농축액</v>
          </cell>
          <cell r="D87" t="str">
            <v>Lemon Syrup</v>
          </cell>
          <cell r="E87"/>
          <cell r="F87" t="str">
            <v>1000ml</v>
          </cell>
          <cell r="G87">
            <v>1000</v>
          </cell>
          <cell r="H87">
            <v>80000</v>
          </cell>
          <cell r="I87">
            <v>4.8959608323133414</v>
          </cell>
          <cell r="J87">
            <v>0.99</v>
          </cell>
          <cell r="K87" t="str">
            <v>g</v>
          </cell>
          <cell r="L87">
            <v>80.808080808080803</v>
          </cell>
          <cell r="M87"/>
          <cell r="N87">
            <v>80.808080808080803</v>
          </cell>
        </row>
        <row r="88">
          <cell r="B88" t="str">
            <v>I049</v>
          </cell>
          <cell r="C88" t="str">
            <v>라면 사리</v>
          </cell>
          <cell r="D88" t="str">
            <v>Ramyoen(Noodle)</v>
          </cell>
          <cell r="E88"/>
          <cell r="F88" t="str">
            <v>200g</v>
          </cell>
          <cell r="G88">
            <v>200</v>
          </cell>
          <cell r="H88">
            <v>11000</v>
          </cell>
          <cell r="I88">
            <v>0.67319461444308448</v>
          </cell>
          <cell r="J88">
            <v>0.99</v>
          </cell>
          <cell r="K88" t="str">
            <v>ea</v>
          </cell>
          <cell r="L88">
            <v>55.555555555555557</v>
          </cell>
          <cell r="M88"/>
          <cell r="N88">
            <v>55.555555555555557</v>
          </cell>
        </row>
        <row r="89">
          <cell r="B89" t="str">
            <v>I054</v>
          </cell>
          <cell r="C89" t="str">
            <v>당면</v>
          </cell>
          <cell r="D89" t="str">
            <v>Glass Noodle</v>
          </cell>
          <cell r="E89"/>
          <cell r="F89" t="str">
            <v>1kg</v>
          </cell>
          <cell r="G89">
            <v>1000</v>
          </cell>
          <cell r="H89">
            <v>46850.7</v>
          </cell>
          <cell r="I89">
            <v>2.8672399020807831</v>
          </cell>
          <cell r="J89">
            <v>2</v>
          </cell>
          <cell r="K89" t="str">
            <v>g</v>
          </cell>
          <cell r="L89">
            <v>23.425349999999998</v>
          </cell>
          <cell r="M89"/>
          <cell r="N89">
            <v>23.425349999999998</v>
          </cell>
        </row>
        <row r="90">
          <cell r="B90" t="str">
            <v>I064</v>
          </cell>
          <cell r="C90" t="str">
            <v>마늘칩</v>
          </cell>
          <cell r="D90" t="str">
            <v>Garlic Chip</v>
          </cell>
          <cell r="E90"/>
          <cell r="F90" t="str">
            <v>1kg</v>
          </cell>
          <cell r="G90">
            <v>1000</v>
          </cell>
          <cell r="H90">
            <v>89900</v>
          </cell>
          <cell r="I90">
            <v>5.5018359853121179</v>
          </cell>
          <cell r="J90">
            <v>0.99</v>
          </cell>
          <cell r="K90" t="str">
            <v>g</v>
          </cell>
          <cell r="L90">
            <v>90.808080808080817</v>
          </cell>
          <cell r="M90"/>
          <cell r="N90">
            <v>90.808080808080817</v>
          </cell>
        </row>
        <row r="91">
          <cell r="B91" t="str">
            <v>I065</v>
          </cell>
          <cell r="C91" t="str">
            <v>바닐라 아이스크림</v>
          </cell>
          <cell r="D91" t="str">
            <v>Vanila Ice Cream</v>
          </cell>
          <cell r="E91"/>
          <cell r="F91" t="str">
            <v>1kg</v>
          </cell>
          <cell r="G91">
            <v>1000</v>
          </cell>
          <cell r="H91">
            <v>138750</v>
          </cell>
          <cell r="I91">
            <v>8.4914320685434515</v>
          </cell>
          <cell r="J91">
            <v>0.99</v>
          </cell>
          <cell r="K91" t="str">
            <v>g</v>
          </cell>
          <cell r="L91">
            <v>140.15151515151516</v>
          </cell>
          <cell r="M91"/>
          <cell r="N91">
            <v>140.15151515151516</v>
          </cell>
        </row>
        <row r="92">
          <cell r="B92" t="str">
            <v>I066</v>
          </cell>
          <cell r="C92" t="str">
            <v>초코 아이스크림</v>
          </cell>
          <cell r="D92" t="str">
            <v>Chocolate Ice Cream</v>
          </cell>
          <cell r="E92"/>
          <cell r="F92" t="str">
            <v xml:space="preserve">1kg </v>
          </cell>
          <cell r="G92">
            <v>1000</v>
          </cell>
          <cell r="H92">
            <v>138750</v>
          </cell>
          <cell r="I92">
            <v>8.4914320685434515</v>
          </cell>
          <cell r="J92">
            <v>0.99</v>
          </cell>
          <cell r="K92" t="str">
            <v>g</v>
          </cell>
          <cell r="L92">
            <v>140.15151515151516</v>
          </cell>
          <cell r="M92"/>
          <cell r="N92">
            <v>140.15151515151516</v>
          </cell>
        </row>
        <row r="93">
          <cell r="B93" t="str">
            <v>I067</v>
          </cell>
          <cell r="C93" t="str">
            <v>딸기 시럽</v>
          </cell>
          <cell r="D93" t="str">
            <v>Strawberry Syrup</v>
          </cell>
          <cell r="E93"/>
          <cell r="F93" t="str">
            <v>750ml</v>
          </cell>
          <cell r="G93">
            <v>750</v>
          </cell>
          <cell r="H93">
            <v>7700</v>
          </cell>
          <cell r="I93">
            <v>0.47123623011015914</v>
          </cell>
          <cell r="J93">
            <v>0.99</v>
          </cell>
          <cell r="K93" t="str">
            <v>g</v>
          </cell>
          <cell r="L93">
            <v>10.370370370370372</v>
          </cell>
          <cell r="M93"/>
          <cell r="N93">
            <v>10.370370370370372</v>
          </cell>
        </row>
        <row r="94">
          <cell r="B94" t="str">
            <v>I068</v>
          </cell>
          <cell r="C94" t="str">
            <v>오레오 크럼블</v>
          </cell>
          <cell r="D94" t="str">
            <v>Oreo Crumble</v>
          </cell>
          <cell r="E94"/>
          <cell r="F94" t="str">
            <v>1kg</v>
          </cell>
          <cell r="G94">
            <v>1000</v>
          </cell>
          <cell r="H94">
            <v>154700</v>
          </cell>
          <cell r="I94">
            <v>9.4675642594859237</v>
          </cell>
          <cell r="J94">
            <v>0.99</v>
          </cell>
          <cell r="K94" t="str">
            <v>g</v>
          </cell>
          <cell r="L94">
            <v>156.26262626262624</v>
          </cell>
          <cell r="M94"/>
          <cell r="N94">
            <v>156.26262626262624</v>
          </cell>
        </row>
        <row r="95">
          <cell r="B95" t="str">
            <v>I069</v>
          </cell>
          <cell r="C95" t="str">
            <v>콘 플레이크</v>
          </cell>
          <cell r="D95" t="str">
            <v>Corn Flake</v>
          </cell>
          <cell r="E95"/>
          <cell r="F95" t="str">
            <v>1kg</v>
          </cell>
          <cell r="G95">
            <v>1000</v>
          </cell>
          <cell r="H95">
            <v>110000</v>
          </cell>
          <cell r="I95">
            <v>6.7319461444308448</v>
          </cell>
          <cell r="J95">
            <v>0.99</v>
          </cell>
          <cell r="K95" t="str">
            <v>g</v>
          </cell>
          <cell r="L95">
            <v>111.11111111111111</v>
          </cell>
          <cell r="M95"/>
          <cell r="N95">
            <v>111.11111111111111</v>
          </cell>
        </row>
        <row r="96">
          <cell r="B96" t="str">
            <v>I070</v>
          </cell>
          <cell r="C96" t="str">
            <v>땅콩 버터</v>
          </cell>
          <cell r="D96" t="str">
            <v>Peanut Butter</v>
          </cell>
          <cell r="E96"/>
          <cell r="F96" t="str">
            <v>800g</v>
          </cell>
          <cell r="G96">
            <v>800</v>
          </cell>
          <cell r="H96">
            <v>58900</v>
          </cell>
          <cell r="I96">
            <v>3.6046511627906979</v>
          </cell>
          <cell r="J96">
            <v>0.99</v>
          </cell>
          <cell r="K96" t="str">
            <v>g</v>
          </cell>
          <cell r="L96">
            <v>74.368686868686865</v>
          </cell>
          <cell r="M96"/>
          <cell r="N96">
            <v>74.368686868686865</v>
          </cell>
        </row>
        <row r="97">
          <cell r="B97" t="str">
            <v>I071</v>
          </cell>
          <cell r="C97" t="str">
            <v>연유</v>
          </cell>
          <cell r="D97" t="str">
            <v>Condensed Milk</v>
          </cell>
          <cell r="E97"/>
          <cell r="F97" t="str">
            <v>545g</v>
          </cell>
          <cell r="G97">
            <v>545</v>
          </cell>
          <cell r="H97">
            <v>21500</v>
          </cell>
          <cell r="I97">
            <v>1.3157894736842106</v>
          </cell>
          <cell r="J97">
            <v>0.99</v>
          </cell>
          <cell r="K97" t="str">
            <v>g</v>
          </cell>
          <cell r="L97">
            <v>39.848021499397646</v>
          </cell>
          <cell r="M97"/>
          <cell r="N97">
            <v>39.848021499397646</v>
          </cell>
        </row>
        <row r="98">
          <cell r="B98" t="str">
            <v>I072</v>
          </cell>
          <cell r="C98" t="str">
            <v>김자반</v>
          </cell>
          <cell r="D98" t="str">
            <v>GIMBORI (Crispy Seaweed)</v>
          </cell>
          <cell r="E98"/>
          <cell r="F98" t="str">
            <v>60g</v>
          </cell>
          <cell r="G98">
            <v>60</v>
          </cell>
          <cell r="H98">
            <v>23220</v>
          </cell>
          <cell r="I98">
            <v>1.4210526315789473</v>
          </cell>
          <cell r="J98">
            <v>0.99</v>
          </cell>
          <cell r="K98" t="str">
            <v>g</v>
          </cell>
          <cell r="L98">
            <v>390.90909090909093</v>
          </cell>
          <cell r="M98"/>
          <cell r="N98">
            <v>390.90909090909093</v>
          </cell>
        </row>
        <row r="99">
          <cell r="B99" t="str">
            <v>I073</v>
          </cell>
          <cell r="C99"/>
          <cell r="D99" t="str">
            <v>GRATED PARMESAN CHEESE</v>
          </cell>
          <cell r="E99"/>
          <cell r="F99" t="str">
            <v>1kg</v>
          </cell>
          <cell r="G99">
            <v>1000</v>
          </cell>
          <cell r="H99">
            <v>260000</v>
          </cell>
          <cell r="I99">
            <v>15.911872705018359</v>
          </cell>
          <cell r="J99">
            <v>0.99</v>
          </cell>
          <cell r="K99" t="str">
            <v>g</v>
          </cell>
          <cell r="L99">
            <v>262.62626262626264</v>
          </cell>
          <cell r="M99"/>
          <cell r="N99">
            <v>262.62626262626264</v>
          </cell>
        </row>
        <row r="100">
          <cell r="B100" t="str">
            <v>I074</v>
          </cell>
          <cell r="C100"/>
          <cell r="D100" t="str">
            <v>ABC CHILI SASET</v>
          </cell>
          <cell r="E100"/>
          <cell r="F100" t="str">
            <v>22pcs</v>
          </cell>
          <cell r="G100">
            <v>22</v>
          </cell>
          <cell r="H100">
            <v>5200</v>
          </cell>
          <cell r="I100"/>
          <cell r="J100">
            <v>1</v>
          </cell>
          <cell r="K100" t="str">
            <v>pc</v>
          </cell>
          <cell r="L100">
            <v>236.36363636363637</v>
          </cell>
          <cell r="M100"/>
          <cell r="N100">
            <v>236.36363636363637</v>
          </cell>
        </row>
        <row r="101">
          <cell r="B101" t="str">
            <v>I075</v>
          </cell>
          <cell r="C101"/>
          <cell r="D101" t="str">
            <v>ABC SAMBAL EXTRA PEDAS SACHET</v>
          </cell>
          <cell r="E101"/>
          <cell r="F101" t="str">
            <v>22pcs</v>
          </cell>
          <cell r="G101">
            <v>22</v>
          </cell>
          <cell r="H101">
            <v>5200</v>
          </cell>
          <cell r="I101"/>
          <cell r="J101">
            <v>1</v>
          </cell>
          <cell r="K101" t="str">
            <v>pc</v>
          </cell>
          <cell r="L101">
            <v>236.36363636363637</v>
          </cell>
          <cell r="M101"/>
          <cell r="N101">
            <v>236.36363636363637</v>
          </cell>
        </row>
        <row r="102">
          <cell r="B102" t="str">
            <v>I076</v>
          </cell>
          <cell r="C102"/>
          <cell r="D102" t="str">
            <v>ABC TOMATO SASET</v>
          </cell>
          <cell r="E102"/>
          <cell r="F102" t="str">
            <v>22pcs</v>
          </cell>
          <cell r="G102">
            <v>22</v>
          </cell>
          <cell r="H102">
            <v>4712</v>
          </cell>
          <cell r="I102"/>
          <cell r="J102">
            <v>1</v>
          </cell>
          <cell r="K102" t="str">
            <v>pc</v>
          </cell>
          <cell r="L102">
            <v>214.18181818181819</v>
          </cell>
          <cell r="M102"/>
          <cell r="N102">
            <v>214.18181818181819</v>
          </cell>
        </row>
        <row r="103">
          <cell r="B103" t="str">
            <v>I077</v>
          </cell>
          <cell r="C103"/>
          <cell r="D103" t="str">
            <v xml:space="preserve">CHILLED RICH DOUBLE CREAM </v>
          </cell>
          <cell r="E103"/>
          <cell r="F103" t="str">
            <v>1L</v>
          </cell>
          <cell r="G103">
            <v>1000</v>
          </cell>
          <cell r="H103">
            <v>68820</v>
          </cell>
          <cell r="I103"/>
          <cell r="J103">
            <v>1</v>
          </cell>
          <cell r="K103" t="str">
            <v>g</v>
          </cell>
          <cell r="L103">
            <v>68.819999999999993</v>
          </cell>
          <cell r="M103"/>
          <cell r="N103">
            <v>68.819999999999993</v>
          </cell>
        </row>
        <row r="104">
          <cell r="B104" t="str">
            <v>I078</v>
          </cell>
          <cell r="C104"/>
          <cell r="D104" t="str">
            <v>Shallot Chip</v>
          </cell>
          <cell r="E104"/>
          <cell r="F104" t="str">
            <v>1kg</v>
          </cell>
          <cell r="G104">
            <v>1000</v>
          </cell>
          <cell r="H104">
            <v>135000</v>
          </cell>
          <cell r="I104"/>
          <cell r="J104">
            <v>1</v>
          </cell>
          <cell r="K104" t="str">
            <v>g</v>
          </cell>
          <cell r="L104">
            <v>135</v>
          </cell>
          <cell r="M104"/>
          <cell r="N104">
            <v>135</v>
          </cell>
        </row>
        <row r="105">
          <cell r="B105" t="str">
            <v>I079</v>
          </cell>
          <cell r="C105"/>
          <cell r="D105" t="str">
            <v>COCONUT FLAKE</v>
          </cell>
          <cell r="E105"/>
          <cell r="F105" t="str">
            <v>250g</v>
          </cell>
          <cell r="G105">
            <v>250</v>
          </cell>
          <cell r="H105">
            <v>39000</v>
          </cell>
          <cell r="I105"/>
          <cell r="J105">
            <v>1</v>
          </cell>
          <cell r="K105" t="str">
            <v>g</v>
          </cell>
          <cell r="L105">
            <v>156</v>
          </cell>
          <cell r="M105"/>
          <cell r="N105">
            <v>156</v>
          </cell>
        </row>
        <row r="106">
          <cell r="B106" t="str">
            <v>I080</v>
          </cell>
          <cell r="C106"/>
          <cell r="D106" t="str">
            <v>FRES MILK PLAIN CIMORY 950ML</v>
          </cell>
          <cell r="E106"/>
          <cell r="F106" t="str">
            <v>950ml</v>
          </cell>
          <cell r="G106">
            <v>950</v>
          </cell>
          <cell r="H106">
            <v>17500</v>
          </cell>
          <cell r="I106"/>
          <cell r="J106">
            <v>1</v>
          </cell>
          <cell r="K106" t="str">
            <v>ml</v>
          </cell>
          <cell r="L106">
            <v>18.421052631578949</v>
          </cell>
          <cell r="M106"/>
          <cell r="N106">
            <v>18.421052631578949</v>
          </cell>
        </row>
        <row r="107">
          <cell r="B107" t="str">
            <v>I081</v>
          </cell>
          <cell r="C107"/>
          <cell r="D107" t="str">
            <v>ARLA TOPPING PIZZA (Moza)</v>
          </cell>
          <cell r="E107"/>
          <cell r="F107" t="str">
            <v>1kg</v>
          </cell>
          <cell r="G107">
            <v>1000</v>
          </cell>
          <cell r="H107">
            <v>100000</v>
          </cell>
          <cell r="I107"/>
          <cell r="J107">
            <v>1</v>
          </cell>
          <cell r="K107" t="str">
            <v>g</v>
          </cell>
          <cell r="L107">
            <v>100</v>
          </cell>
          <cell r="M107"/>
          <cell r="N107">
            <v>100</v>
          </cell>
        </row>
        <row r="108">
          <cell r="B108" t="str">
            <v>I082</v>
          </cell>
          <cell r="C108"/>
          <cell r="D108" t="str">
            <v>EASYMIX WAFFE</v>
          </cell>
          <cell r="E108"/>
          <cell r="F108" t="str">
            <v>1kg</v>
          </cell>
          <cell r="G108">
            <v>1000</v>
          </cell>
          <cell r="H108">
            <v>42735</v>
          </cell>
          <cell r="I108"/>
          <cell r="J108">
            <v>1</v>
          </cell>
          <cell r="K108" t="str">
            <v>g</v>
          </cell>
          <cell r="L108">
            <v>42.734999999999999</v>
          </cell>
          <cell r="M108"/>
          <cell r="N108">
            <v>42.734999999999999</v>
          </cell>
        </row>
        <row r="109">
          <cell r="B109" t="str">
            <v>I083</v>
          </cell>
          <cell r="C109"/>
          <cell r="D109" t="str">
            <v>Honey</v>
          </cell>
          <cell r="E109"/>
          <cell r="F109" t="str">
            <v>5L</v>
          </cell>
          <cell r="G109">
            <v>5000</v>
          </cell>
          <cell r="H109">
            <v>299700</v>
          </cell>
          <cell r="I109"/>
          <cell r="J109">
            <v>1</v>
          </cell>
          <cell r="K109" t="str">
            <v>g</v>
          </cell>
          <cell r="L109">
            <v>59.94</v>
          </cell>
          <cell r="M109"/>
          <cell r="N109">
            <v>59.94</v>
          </cell>
        </row>
        <row r="110">
          <cell r="B110" t="str">
            <v>D001</v>
          </cell>
          <cell r="C110" t="str">
            <v>탄산음료 베이스</v>
          </cell>
          <cell r="D110" t="str">
            <v>Soft Drink Base</v>
          </cell>
          <cell r="E110"/>
          <cell r="F110" t="str">
            <v>10L</v>
          </cell>
          <cell r="G110">
            <v>10000</v>
          </cell>
          <cell r="H110">
            <v>700000</v>
          </cell>
          <cell r="I110">
            <v>42.83965728274174</v>
          </cell>
          <cell r="J110">
            <v>0.99</v>
          </cell>
          <cell r="K110" t="str">
            <v>g</v>
          </cell>
          <cell r="L110">
            <v>70.707070707070713</v>
          </cell>
          <cell r="M110"/>
          <cell r="N110">
            <v>70.707070707070713</v>
          </cell>
        </row>
        <row r="111">
          <cell r="B111" t="str">
            <v>D026</v>
          </cell>
          <cell r="C111" t="str">
            <v>C02</v>
          </cell>
          <cell r="D111" t="str">
            <v>C02</v>
          </cell>
          <cell r="E111"/>
          <cell r="F111" t="str">
            <v>8kg</v>
          </cell>
          <cell r="G111">
            <v>8000</v>
          </cell>
          <cell r="H111">
            <v>254850</v>
          </cell>
          <cell r="I111">
            <v>15.596695226438188</v>
          </cell>
          <cell r="J111">
            <v>0.99</v>
          </cell>
          <cell r="K111" t="str">
            <v>g</v>
          </cell>
          <cell r="L111">
            <v>32.178030303030305</v>
          </cell>
          <cell r="M111"/>
          <cell r="N111">
            <v>32.178030303030305</v>
          </cell>
        </row>
        <row r="112">
          <cell r="B112" t="str">
            <v>D002</v>
          </cell>
          <cell r="C112" t="str">
            <v>시럽(딸기,망고,리치,복숭아)</v>
          </cell>
          <cell r="D112" t="str">
            <v>Syrup (Strawberry,Mango,Lychee,Peach)</v>
          </cell>
          <cell r="E112"/>
          <cell r="F112" t="str">
            <v>750ml</v>
          </cell>
          <cell r="G112">
            <v>750</v>
          </cell>
          <cell r="H112">
            <v>77700</v>
          </cell>
          <cell r="I112">
            <v>4.7552019583843332</v>
          </cell>
          <cell r="J112">
            <v>0.99</v>
          </cell>
          <cell r="K112" t="str">
            <v>g</v>
          </cell>
          <cell r="L112">
            <v>104.64646464646464</v>
          </cell>
          <cell r="M112"/>
          <cell r="N112">
            <v>104.64646464646464</v>
          </cell>
        </row>
        <row r="113">
          <cell r="B113" t="str">
            <v>D003</v>
          </cell>
          <cell r="C113" t="str">
            <v>블랙 티 (물 포함)</v>
          </cell>
          <cell r="D113" t="str">
            <v xml:space="preserve">Black Tea (w/water) </v>
          </cell>
          <cell r="E113"/>
          <cell r="F113" t="str">
            <v>10L</v>
          </cell>
          <cell r="G113">
            <v>10000</v>
          </cell>
          <cell r="H113">
            <v>16650</v>
          </cell>
          <cell r="I113">
            <v>1.0189718482252141</v>
          </cell>
          <cell r="J113">
            <v>0.99</v>
          </cell>
          <cell r="K113" t="str">
            <v>g</v>
          </cell>
          <cell r="L113">
            <v>1.6818181818181819</v>
          </cell>
          <cell r="M113"/>
          <cell r="N113">
            <v>1.6818181818181819</v>
          </cell>
        </row>
        <row r="114">
          <cell r="B114" t="str">
            <v>D006</v>
          </cell>
          <cell r="C114" t="str">
            <v>초코시럽</v>
          </cell>
          <cell r="D114" t="str">
            <v>Chocolate syrup</v>
          </cell>
          <cell r="E114"/>
          <cell r="F114" t="str">
            <v>700ml</v>
          </cell>
          <cell r="G114">
            <v>700</v>
          </cell>
          <cell r="H114">
            <v>122100</v>
          </cell>
          <cell r="I114">
            <v>7.4724602203182373</v>
          </cell>
          <cell r="J114">
            <v>0.99</v>
          </cell>
          <cell r="K114" t="str">
            <v>g</v>
          </cell>
          <cell r="L114">
            <v>176.19047619047618</v>
          </cell>
          <cell r="M114"/>
          <cell r="N114">
            <v>176.19047619047618</v>
          </cell>
        </row>
        <row r="115">
          <cell r="B115" t="str">
            <v>D007</v>
          </cell>
          <cell r="C115" t="str">
            <v>딸기 시럽</v>
          </cell>
          <cell r="D115" t="str">
            <v>Strawberry Syrup</v>
          </cell>
          <cell r="E115"/>
          <cell r="F115" t="str">
            <v>750ml</v>
          </cell>
          <cell r="G115">
            <v>750</v>
          </cell>
          <cell r="H115">
            <v>77700</v>
          </cell>
          <cell r="I115">
            <v>4.7552019583843332</v>
          </cell>
          <cell r="J115">
            <v>0.99</v>
          </cell>
          <cell r="K115" t="str">
            <v>g</v>
          </cell>
          <cell r="L115">
            <v>104.64646464646464</v>
          </cell>
          <cell r="M115"/>
          <cell r="N115">
            <v>104.64646464646464</v>
          </cell>
        </row>
        <row r="116">
          <cell r="B116" t="str">
            <v>D010</v>
          </cell>
          <cell r="C116" t="str">
            <v>아침햇살</v>
          </cell>
          <cell r="D116" t="str">
            <v>Korean Rice Drink</v>
          </cell>
          <cell r="E116"/>
          <cell r="F116" t="str">
            <v>1.5L</v>
          </cell>
          <cell r="G116">
            <v>1500</v>
          </cell>
          <cell r="H116">
            <v>70000</v>
          </cell>
          <cell r="I116">
            <v>4.2839657282741737</v>
          </cell>
          <cell r="J116">
            <v>0.99</v>
          </cell>
          <cell r="K116" t="str">
            <v>g</v>
          </cell>
          <cell r="L116">
            <v>47.138047138047135</v>
          </cell>
          <cell r="M116"/>
          <cell r="N116">
            <v>47.138047138047135</v>
          </cell>
        </row>
        <row r="117">
          <cell r="B117" t="str">
            <v>D011</v>
          </cell>
          <cell r="C117" t="str">
            <v>미숫가루</v>
          </cell>
          <cell r="D117" t="str">
            <v xml:space="preserve">Multi grain powder </v>
          </cell>
          <cell r="E117"/>
          <cell r="F117" t="str">
            <v>1kg</v>
          </cell>
          <cell r="G117">
            <v>1000</v>
          </cell>
          <cell r="H117">
            <v>286000</v>
          </cell>
          <cell r="I117">
            <v>17.503059975520195</v>
          </cell>
          <cell r="J117">
            <v>0.99</v>
          </cell>
          <cell r="K117" t="str">
            <v>g</v>
          </cell>
          <cell r="L117">
            <v>288.88888888888891</v>
          </cell>
          <cell r="M117"/>
          <cell r="N117">
            <v>288.88888888888891</v>
          </cell>
        </row>
        <row r="118">
          <cell r="B118" t="str">
            <v>D012</v>
          </cell>
          <cell r="C118"/>
          <cell r="D118" t="str">
            <v>BONALLIE BLACK TEA</v>
          </cell>
          <cell r="E118"/>
          <cell r="F118" t="str">
            <v>1g</v>
          </cell>
          <cell r="G118">
            <v>1</v>
          </cell>
          <cell r="H118">
            <v>277.5</v>
          </cell>
          <cell r="I118">
            <v>1.6982864137086905E-2</v>
          </cell>
          <cell r="J118">
            <v>4.5999999999999996</v>
          </cell>
          <cell r="K118" t="str">
            <v>g</v>
          </cell>
          <cell r="L118">
            <v>60.326086956521742</v>
          </cell>
          <cell r="M118"/>
          <cell r="N118">
            <v>60.326086956521742</v>
          </cell>
        </row>
        <row r="119">
          <cell r="B119" t="str">
            <v>D013</v>
          </cell>
          <cell r="C119"/>
          <cell r="D119" t="str">
            <v>BONALLIE CHOCO</v>
          </cell>
          <cell r="E119"/>
          <cell r="F119" t="str">
            <v>1ML</v>
          </cell>
          <cell r="G119">
            <v>1</v>
          </cell>
          <cell r="H119">
            <v>162.80000000000001</v>
          </cell>
          <cell r="I119">
            <v>9.9632802937576499E-3</v>
          </cell>
          <cell r="J119">
            <v>0.99</v>
          </cell>
          <cell r="K119" t="str">
            <v>ml</v>
          </cell>
          <cell r="L119">
            <v>164.44444444444446</v>
          </cell>
          <cell r="M119"/>
          <cell r="N119">
            <v>164.44444444444446</v>
          </cell>
        </row>
        <row r="120">
          <cell r="B120" t="str">
            <v>D014</v>
          </cell>
          <cell r="C120"/>
          <cell r="D120" t="str">
            <v>BONALLIE GRAPE</v>
          </cell>
          <cell r="E120"/>
          <cell r="F120" t="str">
            <v>1ML</v>
          </cell>
          <cell r="G120">
            <v>1</v>
          </cell>
          <cell r="H120">
            <v>156.99</v>
          </cell>
          <cell r="I120"/>
          <cell r="J120">
            <v>0.99</v>
          </cell>
          <cell r="K120" t="str">
            <v>ml</v>
          </cell>
          <cell r="L120">
            <v>158.57575757575759</v>
          </cell>
          <cell r="M120"/>
          <cell r="N120">
            <v>158.57575757575759</v>
          </cell>
        </row>
        <row r="121">
          <cell r="B121" t="str">
            <v>D015</v>
          </cell>
          <cell r="C121"/>
          <cell r="D121" t="str">
            <v>BONALLIE LYCHEE</v>
          </cell>
          <cell r="E121"/>
          <cell r="F121" t="str">
            <v>1ML</v>
          </cell>
          <cell r="G121">
            <v>1</v>
          </cell>
          <cell r="H121">
            <v>103.6</v>
          </cell>
          <cell r="I121"/>
          <cell r="J121">
            <v>0.99</v>
          </cell>
          <cell r="K121" t="str">
            <v>ml</v>
          </cell>
          <cell r="L121">
            <v>104.64646464646464</v>
          </cell>
          <cell r="M121"/>
          <cell r="N121">
            <v>104.64646464646464</v>
          </cell>
        </row>
        <row r="122">
          <cell r="B122" t="str">
            <v>D016</v>
          </cell>
          <cell r="C122"/>
          <cell r="D122" t="str">
            <v>BONALLIE MANGO</v>
          </cell>
          <cell r="E122"/>
          <cell r="F122" t="str">
            <v>1ML</v>
          </cell>
          <cell r="G122">
            <v>1</v>
          </cell>
          <cell r="H122">
            <v>103.6</v>
          </cell>
          <cell r="I122"/>
          <cell r="J122">
            <v>0.99</v>
          </cell>
          <cell r="K122" t="str">
            <v>ml</v>
          </cell>
          <cell r="L122">
            <v>104.64646464646464</v>
          </cell>
          <cell r="M122"/>
          <cell r="N122">
            <v>104.64646464646464</v>
          </cell>
        </row>
        <row r="123">
          <cell r="B123" t="str">
            <v>D017</v>
          </cell>
          <cell r="C123"/>
          <cell r="D123" t="str">
            <v>BONALLIE PEACH</v>
          </cell>
          <cell r="E123"/>
          <cell r="F123" t="str">
            <v>1ML</v>
          </cell>
          <cell r="G123">
            <v>1</v>
          </cell>
          <cell r="H123">
            <v>103.6</v>
          </cell>
          <cell r="I123"/>
          <cell r="J123">
            <v>0.99</v>
          </cell>
          <cell r="K123" t="str">
            <v>ml</v>
          </cell>
          <cell r="L123">
            <v>104.64646464646464</v>
          </cell>
          <cell r="M123"/>
          <cell r="N123">
            <v>104.64646464646464</v>
          </cell>
        </row>
        <row r="124">
          <cell r="B124" t="str">
            <v>D018</v>
          </cell>
          <cell r="C124"/>
          <cell r="D124" t="str">
            <v>BONALLIE ROSE</v>
          </cell>
          <cell r="E124"/>
          <cell r="F124" t="str">
            <v>1ML</v>
          </cell>
          <cell r="G124">
            <v>1</v>
          </cell>
          <cell r="H124">
            <v>156.99</v>
          </cell>
          <cell r="I124"/>
          <cell r="J124">
            <v>0.99</v>
          </cell>
          <cell r="K124" t="str">
            <v>ml</v>
          </cell>
          <cell r="L124">
            <v>158.57575757575759</v>
          </cell>
          <cell r="M124"/>
          <cell r="N124">
            <v>158.57575757575759</v>
          </cell>
        </row>
        <row r="125">
          <cell r="B125" t="str">
            <v>D019</v>
          </cell>
          <cell r="C125"/>
          <cell r="D125" t="str">
            <v>BONALLIE STRAWBERRY</v>
          </cell>
          <cell r="E125"/>
          <cell r="F125" t="str">
            <v>1ML</v>
          </cell>
          <cell r="G125">
            <v>1</v>
          </cell>
          <cell r="H125">
            <v>103.6</v>
          </cell>
          <cell r="I125"/>
          <cell r="J125">
            <v>0.99</v>
          </cell>
          <cell r="K125" t="str">
            <v>ml</v>
          </cell>
          <cell r="L125">
            <v>104.64646464646464</v>
          </cell>
          <cell r="M125"/>
          <cell r="N125">
            <v>104.64646464646464</v>
          </cell>
        </row>
        <row r="126">
          <cell r="B126" t="str">
            <v>D020</v>
          </cell>
          <cell r="C126"/>
          <cell r="D126" t="str">
            <v xml:space="preserve">SOFT DRINK CAN </v>
          </cell>
          <cell r="E126"/>
          <cell r="F126" t="str">
            <v>1can</v>
          </cell>
          <cell r="G126">
            <v>1</v>
          </cell>
          <cell r="H126">
            <v>4647.92</v>
          </cell>
          <cell r="I126"/>
          <cell r="J126">
            <v>1</v>
          </cell>
          <cell r="K126" t="str">
            <v>can</v>
          </cell>
          <cell r="L126">
            <v>4647.92</v>
          </cell>
          <cell r="M126"/>
          <cell r="N126">
            <v>4647.92</v>
          </cell>
        </row>
        <row r="127">
          <cell r="B127" t="str">
            <v>D021</v>
          </cell>
          <cell r="C127"/>
          <cell r="D127" t="str">
            <v>MINERAL WATER 600ML</v>
          </cell>
          <cell r="E127"/>
          <cell r="F127" t="str">
            <v>1ea</v>
          </cell>
          <cell r="G127">
            <v>1</v>
          </cell>
          <cell r="H127">
            <v>1958.33</v>
          </cell>
          <cell r="I127"/>
          <cell r="J127">
            <v>1</v>
          </cell>
          <cell r="K127" t="str">
            <v>ea</v>
          </cell>
          <cell r="L127">
            <v>1958.33</v>
          </cell>
          <cell r="M127"/>
          <cell r="N127">
            <v>1958.33</v>
          </cell>
        </row>
        <row r="128">
          <cell r="B128" t="str">
            <v>D022</v>
          </cell>
          <cell r="C128"/>
          <cell r="D128" t="str">
            <v>NESCAFE CLASIC</v>
          </cell>
          <cell r="E128"/>
          <cell r="F128" t="str">
            <v>120g</v>
          </cell>
          <cell r="G128">
            <v>120</v>
          </cell>
          <cell r="H128">
            <v>45000</v>
          </cell>
          <cell r="I128"/>
          <cell r="J128">
            <v>1</v>
          </cell>
          <cell r="K128" t="str">
            <v>g</v>
          </cell>
          <cell r="L128">
            <v>375</v>
          </cell>
          <cell r="M128"/>
          <cell r="N128">
            <v>375</v>
          </cell>
        </row>
        <row r="129">
          <cell r="B129" t="str">
            <v>D023</v>
          </cell>
          <cell r="C129"/>
          <cell r="D129" t="str">
            <v>NESCAFE LATTE</v>
          </cell>
          <cell r="E129"/>
          <cell r="F129" t="str">
            <v>500g</v>
          </cell>
          <cell r="G129">
            <v>500</v>
          </cell>
          <cell r="H129">
            <v>60300</v>
          </cell>
          <cell r="I129"/>
          <cell r="J129">
            <v>1</v>
          </cell>
          <cell r="K129" t="str">
            <v>g</v>
          </cell>
          <cell r="L129">
            <v>120.6</v>
          </cell>
          <cell r="M129"/>
          <cell r="N129">
            <v>120.6</v>
          </cell>
        </row>
        <row r="130">
          <cell r="B130" t="str">
            <v>D024</v>
          </cell>
          <cell r="C130"/>
          <cell r="D130" t="str">
            <v>YAKULT ORIGINAL</v>
          </cell>
          <cell r="E130"/>
          <cell r="F130" t="str">
            <v>65ml</v>
          </cell>
          <cell r="G130">
            <v>65</v>
          </cell>
          <cell r="H130">
            <v>1779.999</v>
          </cell>
          <cell r="I130"/>
          <cell r="J130">
            <v>1</v>
          </cell>
          <cell r="K130" t="str">
            <v>ml</v>
          </cell>
          <cell r="L130">
            <v>27.384599999999999</v>
          </cell>
          <cell r="M130"/>
          <cell r="N130">
            <v>27.384599999999999</v>
          </cell>
        </row>
        <row r="131">
          <cell r="B131" t="str">
            <v>D025</v>
          </cell>
          <cell r="C131"/>
          <cell r="D131" t="str">
            <v xml:space="preserve">Soda Water </v>
          </cell>
          <cell r="E131"/>
          <cell r="F131" t="str">
            <v>250ml</v>
          </cell>
          <cell r="G131">
            <v>250</v>
          </cell>
          <cell r="H131">
            <v>1750</v>
          </cell>
          <cell r="I131"/>
          <cell r="J131">
            <v>1</v>
          </cell>
          <cell r="K131" t="str">
            <v>ml</v>
          </cell>
          <cell r="L131">
            <v>7</v>
          </cell>
          <cell r="M131"/>
          <cell r="N131">
            <v>7</v>
          </cell>
        </row>
        <row r="132">
          <cell r="B132" t="str">
            <v>F001</v>
          </cell>
          <cell r="C132" t="str">
            <v>감자튀김</v>
          </cell>
          <cell r="D132" t="str">
            <v>French Fries</v>
          </cell>
          <cell r="E132"/>
          <cell r="F132" t="str">
            <v>1kg</v>
          </cell>
          <cell r="G132">
            <v>1000</v>
          </cell>
          <cell r="H132">
            <v>33411</v>
          </cell>
          <cell r="I132">
            <v>2.0447368421052632</v>
          </cell>
          <cell r="J132">
            <v>0.75</v>
          </cell>
          <cell r="K132" t="str">
            <v>g</v>
          </cell>
          <cell r="L132">
            <v>44.548000000000002</v>
          </cell>
          <cell r="M132"/>
          <cell r="N132">
            <v>44.548000000000002</v>
          </cell>
        </row>
        <row r="133">
          <cell r="B133" t="str">
            <v>F005</v>
          </cell>
          <cell r="C133" t="str">
            <v>치즈볼(BBQ)</v>
          </cell>
          <cell r="D133" t="str">
            <v>Cheese Ball(BBQ)</v>
          </cell>
          <cell r="E133"/>
          <cell r="F133" t="str">
            <v>360g</v>
          </cell>
          <cell r="G133">
            <v>360</v>
          </cell>
          <cell r="H133">
            <v>150017</v>
          </cell>
          <cell r="I133">
            <v>9.1809669522643826</v>
          </cell>
          <cell r="J133">
            <v>1</v>
          </cell>
          <cell r="K133" t="str">
            <v>g</v>
          </cell>
          <cell r="L133">
            <v>416.7138888888889</v>
          </cell>
          <cell r="M133"/>
          <cell r="N133">
            <v>416.7138888888889</v>
          </cell>
        </row>
        <row r="134">
          <cell r="B134" t="str">
            <v>F013</v>
          </cell>
          <cell r="C134" t="str">
            <v>치즈스틱</v>
          </cell>
          <cell r="D134" t="str">
            <v>Cheese Stick</v>
          </cell>
          <cell r="E134"/>
          <cell r="F134" t="str">
            <v>1pc</v>
          </cell>
          <cell r="G134">
            <v>1</v>
          </cell>
          <cell r="H134">
            <v>3885</v>
          </cell>
          <cell r="I134">
            <v>0.23776009791921665</v>
          </cell>
          <cell r="J134">
            <v>1</v>
          </cell>
          <cell r="K134" t="str">
            <v>pc</v>
          </cell>
          <cell r="L134">
            <v>3885</v>
          </cell>
          <cell r="M134"/>
          <cell r="N134">
            <v>3885</v>
          </cell>
        </row>
        <row r="135">
          <cell r="B135" t="str">
            <v>F025</v>
          </cell>
          <cell r="C135" t="str">
            <v>만두 (치킨)</v>
          </cell>
          <cell r="D135" t="str">
            <v>Mandu (chicken)</v>
          </cell>
          <cell r="E135"/>
          <cell r="F135" t="str">
            <v>1kg</v>
          </cell>
          <cell r="G135">
            <v>1000</v>
          </cell>
          <cell r="H135">
            <v>68820</v>
          </cell>
          <cell r="I135">
            <v>4.2117503059975521</v>
          </cell>
          <cell r="J135">
            <v>1</v>
          </cell>
          <cell r="K135" t="str">
            <v>g</v>
          </cell>
          <cell r="L135">
            <v>68.819999999999993</v>
          </cell>
          <cell r="M135"/>
          <cell r="N135">
            <v>68.819999999999993</v>
          </cell>
        </row>
        <row r="136">
          <cell r="B136" t="str">
            <v>F026</v>
          </cell>
          <cell r="C136" t="str">
            <v>만두 (소고기)</v>
          </cell>
          <cell r="D136" t="str">
            <v>Mandu (Beef)</v>
          </cell>
          <cell r="E136"/>
          <cell r="F136" t="str">
            <v>1kg</v>
          </cell>
          <cell r="G136">
            <v>1000</v>
          </cell>
          <cell r="H136">
            <v>82140</v>
          </cell>
          <cell r="I136">
            <v>5.0269277845777234</v>
          </cell>
          <cell r="J136">
            <v>1</v>
          </cell>
          <cell r="K136" t="str">
            <v>g</v>
          </cell>
          <cell r="L136">
            <v>82.14</v>
          </cell>
          <cell r="M136"/>
          <cell r="N136">
            <v>82.14</v>
          </cell>
        </row>
        <row r="137">
          <cell r="B137" t="str">
            <v>F024</v>
          </cell>
          <cell r="C137" t="str">
            <v>치킨 너겟</v>
          </cell>
          <cell r="D137" t="str">
            <v>Chicken Nugget</v>
          </cell>
          <cell r="E137"/>
          <cell r="F137" t="str">
            <v>470g</v>
          </cell>
          <cell r="G137">
            <v>470</v>
          </cell>
          <cell r="H137">
            <v>41900</v>
          </cell>
          <cell r="I137">
            <v>2.5642594859241128</v>
          </cell>
          <cell r="J137">
            <v>1</v>
          </cell>
          <cell r="K137" t="str">
            <v>g</v>
          </cell>
          <cell r="L137">
            <v>89.148936170212764</v>
          </cell>
          <cell r="M137"/>
          <cell r="N137">
            <v>89.148936170212764</v>
          </cell>
        </row>
        <row r="138">
          <cell r="B138" t="str">
            <v>F027</v>
          </cell>
          <cell r="C138" t="str">
            <v>치킨텐더</v>
          </cell>
          <cell r="D138" t="str">
            <v>Fried Chicken Tender</v>
          </cell>
          <cell r="E138"/>
          <cell r="F138" t="str">
            <v>500g</v>
          </cell>
          <cell r="G138">
            <v>500</v>
          </cell>
          <cell r="H138">
            <v>53499.95</v>
          </cell>
          <cell r="I138">
            <v>3.2741707466340269</v>
          </cell>
          <cell r="J138">
            <v>1</v>
          </cell>
          <cell r="K138" t="str">
            <v>g</v>
          </cell>
          <cell r="L138">
            <v>106.9999</v>
          </cell>
          <cell r="M138"/>
          <cell r="N138">
            <v>106.9999</v>
          </cell>
        </row>
        <row r="139">
          <cell r="B139" t="str">
            <v>F028</v>
          </cell>
          <cell r="C139"/>
          <cell r="D139" t="str">
            <v>SOSIS BAKAR (CHICKEN)</v>
          </cell>
          <cell r="E139"/>
          <cell r="F139" t="str">
            <v>500g</v>
          </cell>
          <cell r="G139">
            <v>500</v>
          </cell>
          <cell r="H139">
            <v>25000</v>
          </cell>
          <cell r="I139">
            <v>1.5299877600979193</v>
          </cell>
          <cell r="J139">
            <v>1</v>
          </cell>
          <cell r="K139" t="str">
            <v>g</v>
          </cell>
          <cell r="L139">
            <v>50</v>
          </cell>
          <cell r="M139"/>
          <cell r="N139">
            <v>50</v>
          </cell>
        </row>
        <row r="140">
          <cell r="B140" t="str">
            <v>PK010</v>
          </cell>
          <cell r="C140" t="str">
            <v>냅킨</v>
          </cell>
          <cell r="D140" t="str">
            <v>Napkin</v>
          </cell>
          <cell r="E140"/>
          <cell r="F140" t="str">
            <v>1pack</v>
          </cell>
          <cell r="G140">
            <v>150</v>
          </cell>
          <cell r="H140">
            <v>3328.15</v>
          </cell>
          <cell r="I140">
            <v>0.20368115055079561</v>
          </cell>
          <cell r="J140">
            <v>1</v>
          </cell>
          <cell r="K140" t="str">
            <v>ea</v>
          </cell>
          <cell r="L140">
            <v>22.187666666666669</v>
          </cell>
          <cell r="M140"/>
          <cell r="N140">
            <v>22.187666666666669</v>
          </cell>
        </row>
        <row r="141">
          <cell r="B141" t="str">
            <v>PK011</v>
          </cell>
          <cell r="C141" t="str">
            <v>포크</v>
          </cell>
          <cell r="D141" t="str">
            <v>6.5" Fork</v>
          </cell>
          <cell r="E141"/>
          <cell r="F141" t="str">
            <v>1ea</v>
          </cell>
          <cell r="G141">
            <v>1</v>
          </cell>
          <cell r="H141">
            <v>190</v>
          </cell>
          <cell r="I141">
            <v>1.1627906976744186E-2</v>
          </cell>
          <cell r="J141">
            <v>1</v>
          </cell>
          <cell r="K141" t="str">
            <v>ea</v>
          </cell>
          <cell r="L141">
            <v>190</v>
          </cell>
          <cell r="M141"/>
          <cell r="N141">
            <v>190</v>
          </cell>
        </row>
        <row r="142">
          <cell r="B142" t="str">
            <v>PK012</v>
          </cell>
          <cell r="C142" t="str">
            <v>나이프</v>
          </cell>
          <cell r="D142" t="str">
            <v>7" Knife</v>
          </cell>
          <cell r="E142"/>
          <cell r="F142" t="str">
            <v>100ea</v>
          </cell>
          <cell r="G142">
            <v>100</v>
          </cell>
          <cell r="H142">
            <v>19900</v>
          </cell>
          <cell r="I142">
            <v>1.2178702570379436</v>
          </cell>
          <cell r="J142">
            <v>1</v>
          </cell>
          <cell r="K142" t="str">
            <v>ea</v>
          </cell>
          <cell r="L142">
            <v>199</v>
          </cell>
          <cell r="M142"/>
          <cell r="N142">
            <v>199</v>
          </cell>
        </row>
        <row r="143">
          <cell r="B143" t="str">
            <v>PK013</v>
          </cell>
          <cell r="C143" t="str">
            <v>숟가락</v>
          </cell>
          <cell r="D143" t="str">
            <v>6.5" Spoon</v>
          </cell>
          <cell r="E143"/>
          <cell r="F143" t="str">
            <v>1ea</v>
          </cell>
          <cell r="G143">
            <v>1</v>
          </cell>
          <cell r="H143">
            <v>190</v>
          </cell>
          <cell r="I143">
            <v>1.1627906976744186E-2</v>
          </cell>
          <cell r="J143">
            <v>1</v>
          </cell>
          <cell r="K143" t="str">
            <v>ea</v>
          </cell>
          <cell r="L143">
            <v>190</v>
          </cell>
          <cell r="M143"/>
          <cell r="N143">
            <v>190</v>
          </cell>
        </row>
        <row r="144">
          <cell r="B144" t="str">
            <v>PK019</v>
          </cell>
          <cell r="C144" t="str">
            <v>감자튀김백</v>
          </cell>
          <cell r="D144" t="str">
            <v xml:space="preserve">BB.Q POTATO FRIES BOX (Dine-in) </v>
          </cell>
          <cell r="E144"/>
          <cell r="F144" t="str">
            <v>1ea</v>
          </cell>
          <cell r="G144">
            <v>1</v>
          </cell>
          <cell r="H144">
            <v>535</v>
          </cell>
          <cell r="I144">
            <v>3.2741738066095469E-2</v>
          </cell>
          <cell r="J144">
            <v>1</v>
          </cell>
          <cell r="K144" t="str">
            <v>ea</v>
          </cell>
          <cell r="L144">
            <v>535</v>
          </cell>
          <cell r="M144"/>
          <cell r="N144">
            <v>535</v>
          </cell>
        </row>
        <row r="145">
          <cell r="B145" t="str">
            <v>PK025</v>
          </cell>
          <cell r="C145" t="str">
            <v>콤보 패키지</v>
          </cell>
          <cell r="D145" t="str">
            <v>Combo Package</v>
          </cell>
          <cell r="E145"/>
          <cell r="F145" t="str">
            <v>1ea</v>
          </cell>
          <cell r="G145">
            <v>1</v>
          </cell>
          <cell r="H145">
            <v>1204</v>
          </cell>
          <cell r="I145">
            <v>7.3684210526315783E-2</v>
          </cell>
          <cell r="J145">
            <v>1</v>
          </cell>
          <cell r="K145" t="str">
            <v>ea</v>
          </cell>
          <cell r="L145">
            <v>1204</v>
          </cell>
          <cell r="M145"/>
          <cell r="N145">
            <v>1204</v>
          </cell>
        </row>
        <row r="146">
          <cell r="B146" t="str">
            <v>PK026</v>
          </cell>
          <cell r="C146" t="str">
            <v>컵밥 패키지</v>
          </cell>
          <cell r="D146" t="str">
            <v>PAPERBOWL CUPBAP #720</v>
          </cell>
          <cell r="E146"/>
          <cell r="F146" t="str">
            <v>1ea</v>
          </cell>
          <cell r="G146">
            <v>1</v>
          </cell>
          <cell r="H146">
            <v>1164</v>
          </cell>
          <cell r="I146">
            <v>7.1236230110159116E-2</v>
          </cell>
          <cell r="J146">
            <v>1</v>
          </cell>
          <cell r="K146" t="str">
            <v>ea</v>
          </cell>
          <cell r="L146">
            <v>1164</v>
          </cell>
          <cell r="M146"/>
          <cell r="N146">
            <v>1164</v>
          </cell>
        </row>
        <row r="147">
          <cell r="B147" t="str">
            <v>PK027</v>
          </cell>
          <cell r="C147" t="str">
            <v>치킨 크럼쉘 박스</v>
          </cell>
          <cell r="D147" t="str">
            <v>BB.Q CHAMSHELL BOX</v>
          </cell>
          <cell r="E147"/>
          <cell r="F147" t="str">
            <v>1ea</v>
          </cell>
          <cell r="G147">
            <v>1</v>
          </cell>
          <cell r="H147">
            <v>670</v>
          </cell>
          <cell r="I147">
            <v>4.1003671970624232E-2</v>
          </cell>
          <cell r="J147">
            <v>1</v>
          </cell>
          <cell r="K147" t="str">
            <v>ea</v>
          </cell>
          <cell r="L147">
            <v>670</v>
          </cell>
          <cell r="M147"/>
          <cell r="N147">
            <v>670</v>
          </cell>
        </row>
        <row r="148">
          <cell r="B148" t="str">
            <v>PK028</v>
          </cell>
          <cell r="C148" t="str">
            <v>사이드 패키지</v>
          </cell>
          <cell r="D148" t="str">
            <v>Side Package</v>
          </cell>
          <cell r="E148"/>
          <cell r="F148" t="str">
            <v>1ea</v>
          </cell>
          <cell r="G148">
            <v>1</v>
          </cell>
          <cell r="H148">
            <v>720</v>
          </cell>
          <cell r="I148">
            <v>4.4063647490820076E-2</v>
          </cell>
          <cell r="J148">
            <v>1</v>
          </cell>
          <cell r="K148" t="str">
            <v>ea</v>
          </cell>
          <cell r="L148">
            <v>720</v>
          </cell>
          <cell r="M148"/>
          <cell r="N148">
            <v>720</v>
          </cell>
        </row>
        <row r="149">
          <cell r="B149" t="str">
            <v>PK030</v>
          </cell>
          <cell r="C149" t="str">
            <v>음료 패키지(16oz)</v>
          </cell>
          <cell r="D149" t="str">
            <v>Drink Package(16oz)</v>
          </cell>
          <cell r="E149"/>
          <cell r="F149" t="str">
            <v>1ea</v>
          </cell>
          <cell r="G149">
            <v>1</v>
          </cell>
          <cell r="H149">
            <v>750</v>
          </cell>
          <cell r="I149">
            <v>4.5899632802937573E-2</v>
          </cell>
          <cell r="J149">
            <v>1</v>
          </cell>
          <cell r="K149" t="str">
            <v>ea</v>
          </cell>
          <cell r="L149">
            <v>750</v>
          </cell>
          <cell r="M149"/>
          <cell r="N149">
            <v>750</v>
          </cell>
        </row>
        <row r="150">
          <cell r="B150" t="str">
            <v>PK031</v>
          </cell>
          <cell r="C150" t="str">
            <v>음료 패키지 뚜껑</v>
          </cell>
          <cell r="D150" t="str">
            <v>Drink Package lid</v>
          </cell>
          <cell r="E150"/>
          <cell r="F150" t="str">
            <v>1ea</v>
          </cell>
          <cell r="G150">
            <v>1</v>
          </cell>
          <cell r="H150">
            <v>200</v>
          </cell>
          <cell r="I150">
            <v>1.2239902080783354E-2</v>
          </cell>
          <cell r="J150">
            <v>1</v>
          </cell>
          <cell r="K150" t="str">
            <v>ea</v>
          </cell>
          <cell r="L150">
            <v>200</v>
          </cell>
          <cell r="M150"/>
          <cell r="N150">
            <v>200</v>
          </cell>
        </row>
        <row r="151">
          <cell r="B151" t="str">
            <v>PK032</v>
          </cell>
          <cell r="C151" t="str">
            <v>꼬꼬콜 뚜껑</v>
          </cell>
          <cell r="D151" t="str">
            <v>Coco-cole Lid</v>
          </cell>
          <cell r="E151"/>
          <cell r="F151"/>
          <cell r="G151"/>
          <cell r="H151"/>
          <cell r="I151">
            <v>0</v>
          </cell>
          <cell r="J151">
            <v>1</v>
          </cell>
          <cell r="K151" t="str">
            <v>ea</v>
          </cell>
          <cell r="L151" t="str">
            <v>-</v>
          </cell>
          <cell r="M151"/>
          <cell r="N151" t="str">
            <v>-</v>
          </cell>
        </row>
        <row r="152">
          <cell r="B152" t="str">
            <v>PK033</v>
          </cell>
          <cell r="C152" t="str">
            <v>유산지</v>
          </cell>
          <cell r="D152" t="str">
            <v>PARCHMENT PAPER / WRAPPING RICE</v>
          </cell>
          <cell r="E152"/>
          <cell r="F152" t="str">
            <v>1ea</v>
          </cell>
          <cell r="G152">
            <v>1</v>
          </cell>
          <cell r="H152">
            <v>231</v>
          </cell>
          <cell r="I152">
            <v>1.4137086903304773E-2</v>
          </cell>
          <cell r="J152">
            <v>1</v>
          </cell>
          <cell r="K152" t="str">
            <v>ea</v>
          </cell>
          <cell r="L152">
            <v>231</v>
          </cell>
          <cell r="M152"/>
          <cell r="N152">
            <v>231</v>
          </cell>
        </row>
        <row r="153">
          <cell r="B153" t="str">
            <v>PK034</v>
          </cell>
          <cell r="C153" t="str">
            <v>종이쇼핑백(소)</v>
          </cell>
          <cell r="D153" t="str">
            <v>Paper Bag(Small)</v>
          </cell>
          <cell r="E153"/>
          <cell r="F153" t="str">
            <v>1ea</v>
          </cell>
          <cell r="G153">
            <v>1</v>
          </cell>
          <cell r="H153">
            <v>1370</v>
          </cell>
          <cell r="I153">
            <v>8.3843329253365975E-2</v>
          </cell>
          <cell r="J153">
            <v>1</v>
          </cell>
          <cell r="K153" t="str">
            <v>ea</v>
          </cell>
          <cell r="L153">
            <v>1370</v>
          </cell>
          <cell r="M153"/>
          <cell r="N153">
            <v>1370</v>
          </cell>
        </row>
        <row r="154">
          <cell r="B154" t="str">
            <v>PK035</v>
          </cell>
          <cell r="C154" t="str">
            <v>종이쇼핑백(중)</v>
          </cell>
          <cell r="D154" t="str">
            <v>Paper Bag(Medium)</v>
          </cell>
          <cell r="E154"/>
          <cell r="F154" t="str">
            <v>1ea</v>
          </cell>
          <cell r="G154">
            <v>1</v>
          </cell>
          <cell r="H154">
            <v>1700</v>
          </cell>
          <cell r="I154">
            <v>0.10403916768665851</v>
          </cell>
          <cell r="J154">
            <v>1</v>
          </cell>
          <cell r="K154" t="str">
            <v>ea</v>
          </cell>
          <cell r="L154">
            <v>1700</v>
          </cell>
          <cell r="M154"/>
          <cell r="N154">
            <v>1700</v>
          </cell>
        </row>
        <row r="155">
          <cell r="B155" t="str">
            <v>PK036</v>
          </cell>
          <cell r="C155" t="str">
            <v>컵밥 Lid</v>
          </cell>
          <cell r="D155" t="str">
            <v>PAPERBOWL CUPBAP #720 LID</v>
          </cell>
          <cell r="E155"/>
          <cell r="F155" t="str">
            <v>1ea</v>
          </cell>
          <cell r="G155">
            <v>1</v>
          </cell>
          <cell r="H155">
            <v>428</v>
          </cell>
          <cell r="I155">
            <v>2.6193390452876376E-2</v>
          </cell>
          <cell r="J155">
            <v>1</v>
          </cell>
          <cell r="K155" t="str">
            <v>ea</v>
          </cell>
          <cell r="L155">
            <v>428</v>
          </cell>
          <cell r="M155"/>
          <cell r="N155">
            <v>428</v>
          </cell>
        </row>
        <row r="156">
          <cell r="B156" t="str">
            <v>PK037</v>
          </cell>
          <cell r="C156" t="str">
            <v>Bowl 패키지 (500ml)</v>
          </cell>
          <cell r="D156" t="str">
            <v>PAPER BOWL PACKAGE (500ML)</v>
          </cell>
          <cell r="E156"/>
          <cell r="F156" t="str">
            <v>1ea</v>
          </cell>
          <cell r="G156">
            <v>1</v>
          </cell>
          <cell r="H156">
            <v>1164</v>
          </cell>
          <cell r="I156">
            <v>7.1236230110159116E-2</v>
          </cell>
          <cell r="J156">
            <v>1</v>
          </cell>
          <cell r="K156" t="str">
            <v>ea</v>
          </cell>
          <cell r="L156">
            <v>1164</v>
          </cell>
          <cell r="M156"/>
          <cell r="N156">
            <v>1164</v>
          </cell>
        </row>
        <row r="157">
          <cell r="B157" t="str">
            <v>PK038</v>
          </cell>
          <cell r="C157" t="str">
            <v>Bowl 패키지 (500ml) Lid</v>
          </cell>
          <cell r="D157" t="str">
            <v>PAPER BOWL PACKAGE (500ML) LID</v>
          </cell>
          <cell r="E157"/>
          <cell r="F157" t="str">
            <v>1ea</v>
          </cell>
          <cell r="G157">
            <v>1</v>
          </cell>
          <cell r="H157">
            <v>428</v>
          </cell>
          <cell r="I157">
            <v>2.6193390452876376E-2</v>
          </cell>
          <cell r="J157">
            <v>1</v>
          </cell>
          <cell r="K157" t="str">
            <v>ea</v>
          </cell>
          <cell r="L157">
            <v>428</v>
          </cell>
          <cell r="M157"/>
          <cell r="N157">
            <v>428</v>
          </cell>
        </row>
        <row r="158">
          <cell r="B158" t="str">
            <v>PK039</v>
          </cell>
          <cell r="C158" t="str">
            <v>커피컵</v>
          </cell>
          <cell r="D158" t="str">
            <v>CUP PAPER #8 (Coffee)</v>
          </cell>
          <cell r="E158"/>
          <cell r="F158" t="str">
            <v>1ea</v>
          </cell>
          <cell r="G158">
            <v>1</v>
          </cell>
          <cell r="H158">
            <v>1428</v>
          </cell>
          <cell r="I158">
            <v>8.7392900856793146E-2</v>
          </cell>
          <cell r="J158">
            <v>1</v>
          </cell>
          <cell r="K158" t="str">
            <v>ea</v>
          </cell>
          <cell r="L158">
            <v>1428</v>
          </cell>
          <cell r="M158"/>
          <cell r="N158">
            <v>1428</v>
          </cell>
        </row>
        <row r="159">
          <cell r="B159" t="str">
            <v>PK040</v>
          </cell>
          <cell r="C159" t="str">
            <v>커피컵 Lid</v>
          </cell>
          <cell r="D159" t="str">
            <v>Lid Hot Cup Flip (8oz)</v>
          </cell>
          <cell r="E159"/>
          <cell r="F159" t="str">
            <v>1ea</v>
          </cell>
          <cell r="G159">
            <v>1</v>
          </cell>
          <cell r="H159">
            <v>300</v>
          </cell>
          <cell r="I159">
            <v>1.8359853121175031E-2</v>
          </cell>
          <cell r="J159">
            <v>1</v>
          </cell>
          <cell r="K159" t="str">
            <v>ea</v>
          </cell>
          <cell r="L159">
            <v>300</v>
          </cell>
          <cell r="M159"/>
          <cell r="N159">
            <v>300</v>
          </cell>
        </row>
        <row r="160">
          <cell r="B160" t="str">
            <v>PK041</v>
          </cell>
          <cell r="C160" t="str">
            <v>음료 패키지 (14oz) - PET</v>
          </cell>
          <cell r="D160" t="str">
            <v>PET Cup 14 Oz Flat Cetak 1 Warna</v>
          </cell>
          <cell r="E160"/>
          <cell r="F160" t="str">
            <v>1ea</v>
          </cell>
          <cell r="G160">
            <v>1</v>
          </cell>
          <cell r="H160">
            <v>208</v>
          </cell>
          <cell r="I160">
            <v>1.2729498164014688E-2</v>
          </cell>
          <cell r="J160">
            <v>1</v>
          </cell>
          <cell r="K160" t="str">
            <v>ea</v>
          </cell>
          <cell r="L160">
            <v>208</v>
          </cell>
          <cell r="M160"/>
          <cell r="N160">
            <v>208</v>
          </cell>
        </row>
        <row r="161">
          <cell r="B161" t="str">
            <v>PK042</v>
          </cell>
          <cell r="C161" t="str">
            <v>돔 뚜껑 (14oz)</v>
          </cell>
          <cell r="D161" t="str">
            <v>Dome Lid</v>
          </cell>
          <cell r="E161"/>
          <cell r="F161" t="str">
            <v>1ea</v>
          </cell>
          <cell r="G161">
            <v>1</v>
          </cell>
          <cell r="H161">
            <v>221</v>
          </cell>
          <cell r="I161">
            <v>1.3525091799265606E-2</v>
          </cell>
          <cell r="J161">
            <v>1</v>
          </cell>
          <cell r="K161" t="str">
            <v>ea</v>
          </cell>
          <cell r="L161">
            <v>221</v>
          </cell>
          <cell r="M161"/>
          <cell r="N161">
            <v>221</v>
          </cell>
        </row>
        <row r="162">
          <cell r="B162" t="str">
            <v>PK043</v>
          </cell>
          <cell r="C162"/>
          <cell r="D162" t="str">
            <v xml:space="preserve">BB.Q FOODPAIL M </v>
          </cell>
          <cell r="E162"/>
          <cell r="F162" t="str">
            <v>1ea</v>
          </cell>
          <cell r="G162">
            <v>1</v>
          </cell>
          <cell r="H162">
            <v>1204</v>
          </cell>
          <cell r="I162">
            <v>7.3684210526315783E-2</v>
          </cell>
          <cell r="J162">
            <v>1</v>
          </cell>
          <cell r="K162" t="str">
            <v>ea</v>
          </cell>
          <cell r="L162">
            <v>1204</v>
          </cell>
          <cell r="M162"/>
          <cell r="N162">
            <v>1204</v>
          </cell>
        </row>
        <row r="163">
          <cell r="B163" t="str">
            <v>PK044</v>
          </cell>
          <cell r="C163"/>
          <cell r="D163" t="str">
            <v>BB.Q FOODPAIL L</v>
          </cell>
          <cell r="E163"/>
          <cell r="F163" t="str">
            <v>1ea</v>
          </cell>
          <cell r="G163">
            <v>1</v>
          </cell>
          <cell r="H163">
            <v>1238</v>
          </cell>
          <cell r="I163">
            <v>7.5764993880048953E-2</v>
          </cell>
          <cell r="J163">
            <v>1</v>
          </cell>
          <cell r="K163" t="str">
            <v>ea</v>
          </cell>
          <cell r="L163">
            <v>1238</v>
          </cell>
          <cell r="M163"/>
          <cell r="N163">
            <v>1238</v>
          </cell>
        </row>
        <row r="164">
          <cell r="B164" t="str">
            <v>PK045</v>
          </cell>
          <cell r="C164"/>
          <cell r="D164" t="str">
            <v>BB.Q Papertray</v>
          </cell>
          <cell r="E164"/>
          <cell r="F164" t="str">
            <v>1ea</v>
          </cell>
          <cell r="G164">
            <v>1</v>
          </cell>
          <cell r="H164">
            <v>550</v>
          </cell>
          <cell r="I164">
            <v>3.3659730722154224E-2</v>
          </cell>
          <cell r="J164">
            <v>1</v>
          </cell>
          <cell r="K164" t="str">
            <v>ea</v>
          </cell>
          <cell r="L164">
            <v>550</v>
          </cell>
          <cell r="M164"/>
          <cell r="N164">
            <v>550</v>
          </cell>
        </row>
        <row r="165">
          <cell r="B165" t="str">
            <v>PK046</v>
          </cell>
          <cell r="C165"/>
          <cell r="D165" t="str">
            <v>BB.Q Takeaway Box (XL)</v>
          </cell>
          <cell r="E165"/>
          <cell r="F165" t="str">
            <v>1ea</v>
          </cell>
          <cell r="G165">
            <v>1</v>
          </cell>
          <cell r="H165">
            <v>1800</v>
          </cell>
          <cell r="I165">
            <v>0.11015911872705018</v>
          </cell>
          <cell r="J165">
            <v>1</v>
          </cell>
          <cell r="K165" t="str">
            <v>ea</v>
          </cell>
          <cell r="L165">
            <v>1800</v>
          </cell>
          <cell r="M165"/>
          <cell r="N165">
            <v>1800</v>
          </cell>
        </row>
        <row r="166">
          <cell r="B166" t="str">
            <v>PK047</v>
          </cell>
          <cell r="C166"/>
          <cell r="D166" t="str">
            <v>DRINK PACKAGE LID(16OZ)</v>
          </cell>
          <cell r="E166"/>
          <cell r="F166" t="str">
            <v>1ea</v>
          </cell>
          <cell r="G166">
            <v>1</v>
          </cell>
          <cell r="H166">
            <v>200</v>
          </cell>
          <cell r="I166">
            <v>1.2239902080783354E-2</v>
          </cell>
          <cell r="J166">
            <v>1</v>
          </cell>
          <cell r="K166" t="str">
            <v>ea</v>
          </cell>
          <cell r="L166">
            <v>200</v>
          </cell>
          <cell r="M166"/>
          <cell r="N166">
            <v>200</v>
          </cell>
        </row>
        <row r="167">
          <cell r="B167" t="str">
            <v>PK048</v>
          </cell>
          <cell r="C167"/>
          <cell r="D167" t="str">
            <v>BB.Q PAPER BAG FRIES (TakeAway)</v>
          </cell>
          <cell r="E167"/>
          <cell r="F167" t="str">
            <v>1ea</v>
          </cell>
          <cell r="G167">
            <v>1</v>
          </cell>
          <cell r="H167">
            <v>737</v>
          </cell>
          <cell r="I167">
            <v>4.5104039167686662E-2</v>
          </cell>
          <cell r="J167">
            <v>1</v>
          </cell>
          <cell r="K167" t="str">
            <v>ea</v>
          </cell>
          <cell r="L167">
            <v>737</v>
          </cell>
          <cell r="M167"/>
          <cell r="N167">
            <v>737</v>
          </cell>
        </row>
        <row r="168">
          <cell r="B168" t="str">
            <v>PK049</v>
          </cell>
          <cell r="C168"/>
          <cell r="D168" t="str">
            <v>BB.Q APPITIZER BOX</v>
          </cell>
          <cell r="E168"/>
          <cell r="F168" t="str">
            <v>1ea</v>
          </cell>
          <cell r="G168">
            <v>1</v>
          </cell>
          <cell r="H168">
            <v>720</v>
          </cell>
          <cell r="I168">
            <v>4.4063647490820076E-2</v>
          </cell>
          <cell r="J168">
            <v>1</v>
          </cell>
          <cell r="K168" t="str">
            <v>ea</v>
          </cell>
          <cell r="L168">
            <v>720</v>
          </cell>
          <cell r="M168"/>
          <cell r="N168">
            <v>720</v>
          </cell>
        </row>
        <row r="169">
          <cell r="B169" t="str">
            <v>PK050</v>
          </cell>
          <cell r="C169"/>
          <cell r="D169" t="str">
            <v>CUP PLS #14</v>
          </cell>
          <cell r="E169"/>
          <cell r="F169" t="str">
            <v>1ea</v>
          </cell>
          <cell r="G169">
            <v>1</v>
          </cell>
          <cell r="H169">
            <v>694</v>
          </cell>
          <cell r="I169">
            <v>4.2472460220318239E-2</v>
          </cell>
          <cell r="J169">
            <v>1</v>
          </cell>
          <cell r="K169" t="str">
            <v>ea</v>
          </cell>
          <cell r="L169">
            <v>694</v>
          </cell>
          <cell r="M169"/>
          <cell r="N169">
            <v>694</v>
          </cell>
        </row>
        <row r="170">
          <cell r="B170" t="str">
            <v>PK051</v>
          </cell>
          <cell r="C170"/>
          <cell r="D170" t="str">
            <v>CUP SUNDAE #8 OZ</v>
          </cell>
          <cell r="E170"/>
          <cell r="F170" t="str">
            <v>1ea</v>
          </cell>
          <cell r="G170">
            <v>1</v>
          </cell>
          <cell r="H170">
            <v>375</v>
          </cell>
          <cell r="I170"/>
          <cell r="J170">
            <v>1</v>
          </cell>
          <cell r="K170" t="str">
            <v>ea</v>
          </cell>
          <cell r="L170">
            <v>375</v>
          </cell>
          <cell r="M170"/>
          <cell r="N170">
            <v>375</v>
          </cell>
        </row>
        <row r="171">
          <cell r="B171" t="str">
            <v>PK052</v>
          </cell>
          <cell r="C171"/>
          <cell r="D171" t="str">
            <v>CUTLERIES</v>
          </cell>
          <cell r="E171"/>
          <cell r="F171" t="str">
            <v>1ea</v>
          </cell>
          <cell r="G171">
            <v>1</v>
          </cell>
          <cell r="H171">
            <v>443</v>
          </cell>
          <cell r="I171"/>
          <cell r="J171">
            <v>1</v>
          </cell>
          <cell r="K171" t="str">
            <v>ea</v>
          </cell>
          <cell r="L171">
            <v>443</v>
          </cell>
          <cell r="M171"/>
          <cell r="N171">
            <v>443</v>
          </cell>
        </row>
        <row r="172">
          <cell r="B172" t="str">
            <v>PK053</v>
          </cell>
          <cell r="C172"/>
          <cell r="D172" t="str">
            <v>LID CUP #14 FLAT</v>
          </cell>
          <cell r="E172"/>
          <cell r="F172" t="str">
            <v>1ea</v>
          </cell>
          <cell r="G172">
            <v>1</v>
          </cell>
          <cell r="H172">
            <v>208</v>
          </cell>
          <cell r="I172"/>
          <cell r="J172">
            <v>1</v>
          </cell>
          <cell r="K172" t="str">
            <v>ea</v>
          </cell>
          <cell r="L172">
            <v>208</v>
          </cell>
          <cell r="M172"/>
          <cell r="N172">
            <v>208</v>
          </cell>
        </row>
        <row r="173">
          <cell r="B173" t="str">
            <v>PK054</v>
          </cell>
          <cell r="C173"/>
          <cell r="D173" t="str">
            <v>LID CUP PAPER #8</v>
          </cell>
          <cell r="E173"/>
          <cell r="F173" t="str">
            <v>1ea</v>
          </cell>
          <cell r="G173">
            <v>1</v>
          </cell>
          <cell r="H173">
            <v>300</v>
          </cell>
          <cell r="I173"/>
          <cell r="J173">
            <v>1</v>
          </cell>
          <cell r="K173" t="str">
            <v>ea</v>
          </cell>
          <cell r="L173">
            <v>300</v>
          </cell>
          <cell r="M173"/>
          <cell r="N173">
            <v>300</v>
          </cell>
        </row>
        <row r="174">
          <cell r="B174" t="str">
            <v>PK055</v>
          </cell>
          <cell r="C174"/>
          <cell r="D174" t="str">
            <v>PAPER BAG (SMALL) PUTIH LOGO (MASKOINDO)</v>
          </cell>
          <cell r="E174"/>
          <cell r="F174" t="str">
            <v>1ea</v>
          </cell>
          <cell r="G174">
            <v>1</v>
          </cell>
          <cell r="H174">
            <v>3750</v>
          </cell>
          <cell r="I174"/>
          <cell r="J174">
            <v>1</v>
          </cell>
          <cell r="K174" t="str">
            <v>ea</v>
          </cell>
          <cell r="L174">
            <v>3750</v>
          </cell>
          <cell r="M174"/>
          <cell r="N174">
            <v>3750</v>
          </cell>
        </row>
        <row r="175">
          <cell r="B175" t="str">
            <v>PK056</v>
          </cell>
          <cell r="C175"/>
          <cell r="D175" t="str">
            <v>PAPER BAG BIG COKLAT (LOGO)</v>
          </cell>
          <cell r="E175"/>
          <cell r="F175" t="str">
            <v>1ea</v>
          </cell>
          <cell r="G175">
            <v>1</v>
          </cell>
          <cell r="H175">
            <v>1700</v>
          </cell>
          <cell r="I175"/>
          <cell r="J175">
            <v>1</v>
          </cell>
          <cell r="K175" t="str">
            <v>ea</v>
          </cell>
          <cell r="L175">
            <v>1700</v>
          </cell>
          <cell r="M175"/>
          <cell r="N175">
            <v>1700</v>
          </cell>
        </row>
        <row r="176">
          <cell r="B176" t="str">
            <v>PK057</v>
          </cell>
          <cell r="C176"/>
          <cell r="D176" t="str">
            <v>PAPER BAG SMALL COKLAT (LOGO)</v>
          </cell>
          <cell r="E176"/>
          <cell r="F176" t="str">
            <v>1ea</v>
          </cell>
          <cell r="G176">
            <v>1</v>
          </cell>
          <cell r="H176">
            <v>1370</v>
          </cell>
          <cell r="I176"/>
          <cell r="J176">
            <v>1</v>
          </cell>
          <cell r="K176" t="str">
            <v>ea</v>
          </cell>
          <cell r="L176">
            <v>1370</v>
          </cell>
          <cell r="M176"/>
          <cell r="N176">
            <v>1370</v>
          </cell>
        </row>
        <row r="177">
          <cell r="B177" t="str">
            <v>PK058</v>
          </cell>
          <cell r="C177"/>
          <cell r="D177" t="str">
            <v>ROUND SAUCE #35ML</v>
          </cell>
          <cell r="E177"/>
          <cell r="F177" t="str">
            <v>1ea</v>
          </cell>
          <cell r="G177">
            <v>1</v>
          </cell>
          <cell r="H177">
            <v>200</v>
          </cell>
          <cell r="I177"/>
          <cell r="J177">
            <v>1</v>
          </cell>
          <cell r="K177" t="str">
            <v>ea</v>
          </cell>
          <cell r="L177">
            <v>200</v>
          </cell>
          <cell r="M177"/>
          <cell r="N177">
            <v>200</v>
          </cell>
        </row>
        <row r="178">
          <cell r="B178" t="str">
            <v>PK059</v>
          </cell>
          <cell r="C178"/>
          <cell r="D178" t="str">
            <v>SENDOK SUNDAE(Spoon)</v>
          </cell>
          <cell r="E178"/>
          <cell r="F178" t="str">
            <v>1ea</v>
          </cell>
          <cell r="G178">
            <v>1</v>
          </cell>
          <cell r="H178">
            <v>150</v>
          </cell>
          <cell r="I178"/>
          <cell r="J178">
            <v>1</v>
          </cell>
          <cell r="K178" t="str">
            <v>ea</v>
          </cell>
          <cell r="L178">
            <v>150</v>
          </cell>
          <cell r="M178"/>
          <cell r="N178">
            <v>150</v>
          </cell>
        </row>
        <row r="179">
          <cell r="B179" t="str">
            <v>PK060</v>
          </cell>
          <cell r="C179"/>
          <cell r="D179" t="str">
            <v>STRAW PLASTIK 20 CM</v>
          </cell>
          <cell r="E179"/>
          <cell r="F179" t="str">
            <v>1ea</v>
          </cell>
          <cell r="G179">
            <v>1</v>
          </cell>
          <cell r="H179">
            <v>11.2</v>
          </cell>
          <cell r="I179"/>
          <cell r="J179">
            <v>1</v>
          </cell>
          <cell r="K179" t="str">
            <v>ea</v>
          </cell>
          <cell r="L179">
            <v>11.2</v>
          </cell>
          <cell r="M179"/>
          <cell r="N179">
            <v>11.2</v>
          </cell>
        </row>
        <row r="180">
          <cell r="B180" t="str">
            <v>PK061</v>
          </cell>
          <cell r="C180"/>
          <cell r="D180" t="str">
            <v>STRAW PLASTIK 24 CM</v>
          </cell>
          <cell r="E180"/>
          <cell r="F180" t="str">
            <v>1ea</v>
          </cell>
          <cell r="G180">
            <v>1</v>
          </cell>
          <cell r="H180">
            <v>35</v>
          </cell>
          <cell r="I180"/>
          <cell r="J180">
            <v>1</v>
          </cell>
          <cell r="K180" t="str">
            <v>ea</v>
          </cell>
          <cell r="L180">
            <v>35</v>
          </cell>
          <cell r="M180"/>
          <cell r="N180">
            <v>35</v>
          </cell>
        </row>
        <row r="181">
          <cell r="B181" t="str">
            <v>PK062</v>
          </cell>
          <cell r="C181"/>
          <cell r="D181" t="str">
            <v>TAS SPUNBOND</v>
          </cell>
          <cell r="E181"/>
          <cell r="F181" t="str">
            <v>1ea</v>
          </cell>
          <cell r="G181">
            <v>1</v>
          </cell>
          <cell r="H181">
            <v>2400</v>
          </cell>
          <cell r="I181"/>
          <cell r="J181">
            <v>1</v>
          </cell>
          <cell r="K181" t="str">
            <v>ea</v>
          </cell>
          <cell r="L181">
            <v>2400</v>
          </cell>
          <cell r="M181"/>
          <cell r="N181">
            <v>2400</v>
          </cell>
        </row>
      </sheetData>
      <sheetData sheetId="1">
        <row r="8">
          <cell r="B8" t="str">
            <v>CK001</v>
          </cell>
          <cell r="C8"/>
          <cell r="D8" t="str">
            <v>올리브배터믹스솔루션</v>
          </cell>
          <cell r="E8" t="str">
            <v>Battering Powder Mix Solution(White)</v>
          </cell>
          <cell r="F8"/>
          <cell r="G8" t="str">
            <v>CK001</v>
          </cell>
          <cell r="H8"/>
          <cell r="I8">
            <v>2700</v>
          </cell>
          <cell r="J8" t="str">
            <v>g</v>
          </cell>
          <cell r="K8">
            <v>30.23</v>
          </cell>
          <cell r="L8">
            <v>81617.647058823539</v>
          </cell>
        </row>
        <row r="9">
          <cell r="B9"/>
          <cell r="C9" t="str">
            <v>CK002</v>
          </cell>
          <cell r="D9" t="str">
            <v>허니갈릭용배터믹스</v>
          </cell>
          <cell r="E9" t="str">
            <v xml:space="preserve">Battering Powder Mix C </v>
          </cell>
          <cell r="F9"/>
          <cell r="G9" t="str">
            <v>P002</v>
          </cell>
          <cell r="H9" t="str">
            <v>DI</v>
          </cell>
          <cell r="I9">
            <v>1000</v>
          </cell>
          <cell r="J9" t="str">
            <v>g</v>
          </cell>
          <cell r="K9">
            <v>50</v>
          </cell>
          <cell r="L9">
            <v>50000</v>
          </cell>
        </row>
        <row r="10">
          <cell r="B10"/>
          <cell r="C10"/>
          <cell r="D10" t="str">
            <v>정수</v>
          </cell>
          <cell r="E10" t="str">
            <v xml:space="preserve">Purified Water </v>
          </cell>
          <cell r="F10"/>
          <cell r="G10" t="str">
            <v>I001</v>
          </cell>
          <cell r="H10" t="str">
            <v>DI</v>
          </cell>
          <cell r="I10">
            <v>1100</v>
          </cell>
          <cell r="J10" t="str">
            <v>g</v>
          </cell>
          <cell r="K10" t="str">
            <v>-</v>
          </cell>
          <cell r="L10" t="str">
            <v>-</v>
          </cell>
        </row>
        <row r="11">
          <cell r="B11" t="str">
            <v>CK002</v>
          </cell>
          <cell r="C11"/>
          <cell r="D11" t="str">
            <v>허니갈릭배터믹스솔루션</v>
          </cell>
          <cell r="E11" t="str">
            <v>Battering Powder Mix C Solution(Yellow)</v>
          </cell>
          <cell r="F11"/>
          <cell r="G11" t="str">
            <v>CK002</v>
          </cell>
          <cell r="H11"/>
          <cell r="I11">
            <v>2100</v>
          </cell>
          <cell r="J11" t="str">
            <v>g</v>
          </cell>
          <cell r="K11">
            <v>23.80952380952381</v>
          </cell>
          <cell r="L11">
            <v>50000</v>
          </cell>
        </row>
        <row r="12">
          <cell r="B12"/>
          <cell r="C12"/>
          <cell r="D12" t="str">
            <v>정수</v>
          </cell>
          <cell r="E12" t="str">
            <v xml:space="preserve">Purified Water </v>
          </cell>
          <cell r="F12"/>
          <cell r="G12" t="str">
            <v>I001</v>
          </cell>
          <cell r="H12"/>
          <cell r="I12">
            <v>500</v>
          </cell>
          <cell r="J12" t="str">
            <v>g</v>
          </cell>
          <cell r="K12" t="str">
            <v>-</v>
          </cell>
          <cell r="L12" t="str">
            <v>-</v>
          </cell>
        </row>
        <row r="13">
          <cell r="B13"/>
          <cell r="C13"/>
          <cell r="D13" t="str">
            <v>쌀</v>
          </cell>
          <cell r="E13" t="str">
            <v>Rice</v>
          </cell>
          <cell r="F13"/>
          <cell r="G13" t="str">
            <v>V008</v>
          </cell>
          <cell r="H13"/>
          <cell r="I13">
            <v>1000</v>
          </cell>
          <cell r="J13" t="str">
            <v>g</v>
          </cell>
          <cell r="K13">
            <v>7.35</v>
          </cell>
          <cell r="L13">
            <v>7350</v>
          </cell>
        </row>
        <row r="14">
          <cell r="B14" t="str">
            <v>CK028</v>
          </cell>
          <cell r="C14"/>
          <cell r="D14" t="str">
            <v>공기밥</v>
          </cell>
          <cell r="E14" t="str">
            <v>Steamed Rice</v>
          </cell>
          <cell r="F14"/>
          <cell r="G14" t="str">
            <v>CK028</v>
          </cell>
          <cell r="H14"/>
          <cell r="I14">
            <v>1500</v>
          </cell>
          <cell r="J14" t="str">
            <v>g</v>
          </cell>
          <cell r="K14">
            <v>4.9000000000000004</v>
          </cell>
          <cell r="L14">
            <v>7350</v>
          </cell>
        </row>
        <row r="15">
          <cell r="B15"/>
          <cell r="C15"/>
          <cell r="D15" t="str">
            <v>레몬농축액</v>
          </cell>
          <cell r="E15" t="str">
            <v xml:space="preserve">Lemon Juice </v>
          </cell>
          <cell r="F15"/>
          <cell r="G15" t="str">
            <v>I041</v>
          </cell>
          <cell r="H15"/>
          <cell r="I15">
            <v>4</v>
          </cell>
          <cell r="J15" t="str">
            <v>g</v>
          </cell>
          <cell r="K15">
            <v>80.808080808080803</v>
          </cell>
          <cell r="L15">
            <v>323.23232323232321</v>
          </cell>
        </row>
        <row r="16">
          <cell r="B16"/>
          <cell r="C16"/>
          <cell r="D16" t="str">
            <v>백설탕</v>
          </cell>
          <cell r="E16" t="str">
            <v>White Sugar</v>
          </cell>
          <cell r="F16"/>
          <cell r="G16" t="str">
            <v>I027</v>
          </cell>
          <cell r="H16"/>
          <cell r="I16">
            <v>6</v>
          </cell>
          <cell r="J16" t="str">
            <v>g</v>
          </cell>
          <cell r="K16">
            <v>21.212121212121211</v>
          </cell>
          <cell r="L16">
            <v>127.27272727272727</v>
          </cell>
        </row>
        <row r="17">
          <cell r="B17"/>
          <cell r="C17"/>
          <cell r="D17"/>
          <cell r="E17"/>
          <cell r="F17"/>
          <cell r="G17"/>
          <cell r="H17"/>
          <cell r="I17"/>
          <cell r="J17"/>
          <cell r="K17"/>
          <cell r="L17"/>
        </row>
        <row r="18">
          <cell r="B18" t="str">
            <v>CK029</v>
          </cell>
          <cell r="C18"/>
          <cell r="D18" t="str">
            <v>레몬시럽</v>
          </cell>
          <cell r="E18" t="str">
            <v>Lemon Syrup</v>
          </cell>
          <cell r="F18"/>
          <cell r="G18" t="str">
            <v>CK029</v>
          </cell>
          <cell r="H18"/>
          <cell r="I18">
            <v>10</v>
          </cell>
          <cell r="J18" t="str">
            <v>g</v>
          </cell>
          <cell r="K18">
            <v>36.06</v>
          </cell>
          <cell r="L18">
            <v>450.50505050505046</v>
          </cell>
        </row>
        <row r="19">
          <cell r="B19"/>
          <cell r="C19"/>
          <cell r="D19" t="str">
            <v>땅콩버터</v>
          </cell>
          <cell r="E19" t="str">
            <v>Peanut Butter</v>
          </cell>
          <cell r="F19"/>
          <cell r="G19" t="str">
            <v>I070</v>
          </cell>
          <cell r="H19"/>
          <cell r="I19">
            <v>50</v>
          </cell>
          <cell r="J19" t="str">
            <v>g</v>
          </cell>
          <cell r="K19">
            <v>74.368686868686865</v>
          </cell>
          <cell r="L19">
            <v>3718.4343434343432</v>
          </cell>
        </row>
        <row r="20">
          <cell r="B20"/>
          <cell r="C20"/>
          <cell r="D20" t="str">
            <v>백설탕</v>
          </cell>
          <cell r="E20" t="e">
            <v>#N/A</v>
          </cell>
          <cell r="F20"/>
          <cell r="G20" t="str">
            <v>I027</v>
          </cell>
          <cell r="H20"/>
          <cell r="I20">
            <v>4</v>
          </cell>
          <cell r="J20" t="str">
            <v>g</v>
          </cell>
          <cell r="K20">
            <v>21.212121212121211</v>
          </cell>
          <cell r="L20">
            <v>84.848484848484844</v>
          </cell>
        </row>
        <row r="21">
          <cell r="B21"/>
          <cell r="C21"/>
          <cell r="D21" t="str">
            <v>소이갈릭용소스</v>
          </cell>
          <cell r="E21" t="str">
            <v>Garlic Flavor Sauce</v>
          </cell>
          <cell r="F21"/>
          <cell r="G21" t="str">
            <v>S029</v>
          </cell>
          <cell r="H21"/>
          <cell r="I21">
            <v>10</v>
          </cell>
          <cell r="J21" t="str">
            <v>g</v>
          </cell>
          <cell r="K21">
            <v>80.353333333333339</v>
          </cell>
          <cell r="L21">
            <v>803.53333333333342</v>
          </cell>
        </row>
        <row r="22">
          <cell r="B22"/>
          <cell r="C22"/>
          <cell r="D22" t="str">
            <v>마요네즈</v>
          </cell>
          <cell r="E22" t="str">
            <v>Mayonnaise</v>
          </cell>
          <cell r="F22"/>
          <cell r="G22" t="str">
            <v>S039</v>
          </cell>
          <cell r="H22"/>
          <cell r="I22">
            <v>50</v>
          </cell>
          <cell r="J22" t="str">
            <v>g</v>
          </cell>
          <cell r="K22">
            <v>48.82151515151515</v>
          </cell>
          <cell r="L22">
            <v>2441.0757575757575</v>
          </cell>
        </row>
        <row r="23">
          <cell r="B23" t="str">
            <v>CK030</v>
          </cell>
          <cell r="C23"/>
          <cell r="D23" t="str">
            <v>땅콩소스</v>
          </cell>
          <cell r="E23" t="str">
            <v>Peanut Sauce</v>
          </cell>
          <cell r="F23"/>
          <cell r="G23" t="str">
            <v>CK030</v>
          </cell>
          <cell r="H23"/>
          <cell r="I23">
            <v>114</v>
          </cell>
          <cell r="J23" t="str">
            <v>g</v>
          </cell>
          <cell r="K23">
            <v>61.82361332624491</v>
          </cell>
          <cell r="L23">
            <v>7047.8919191919194</v>
          </cell>
        </row>
        <row r="24">
          <cell r="B24"/>
          <cell r="C24"/>
          <cell r="D24" t="str">
            <v>감자튀김</v>
          </cell>
          <cell r="E24" t="str">
            <v>French Fries</v>
          </cell>
          <cell r="F24"/>
          <cell r="G24" t="str">
            <v>F001</v>
          </cell>
          <cell r="H24"/>
          <cell r="I24">
            <v>150</v>
          </cell>
          <cell r="J24" t="str">
            <v>g</v>
          </cell>
          <cell r="K24">
            <v>44.548000000000002</v>
          </cell>
          <cell r="L24">
            <v>6682.2000000000007</v>
          </cell>
        </row>
        <row r="25">
          <cell r="B25"/>
          <cell r="C25"/>
          <cell r="D25" t="str">
            <v>팜유</v>
          </cell>
          <cell r="E25" t="str">
            <v>Palm Oil</v>
          </cell>
          <cell r="F25"/>
          <cell r="G25" t="str">
            <v>O009</v>
          </cell>
          <cell r="H25"/>
          <cell r="I25">
            <v>30</v>
          </cell>
          <cell r="J25" t="str">
            <v>g</v>
          </cell>
          <cell r="K25">
            <v>25.707070707070706</v>
          </cell>
          <cell r="L25">
            <v>771.21212121212113</v>
          </cell>
        </row>
        <row r="26">
          <cell r="B26"/>
          <cell r="C26"/>
          <cell r="D26"/>
          <cell r="E26"/>
          <cell r="F26"/>
          <cell r="G26"/>
          <cell r="H26"/>
          <cell r="I26"/>
          <cell r="J26"/>
          <cell r="K26"/>
          <cell r="L26"/>
        </row>
        <row r="27">
          <cell r="B27" t="str">
            <v>CK031</v>
          </cell>
          <cell r="C27"/>
          <cell r="D27" t="str">
            <v>감자튀김</v>
          </cell>
          <cell r="E27" t="str">
            <v>French Fries</v>
          </cell>
          <cell r="F27"/>
          <cell r="G27" t="str">
            <v>CK031</v>
          </cell>
          <cell r="H27"/>
          <cell r="I27">
            <v>180</v>
          </cell>
          <cell r="J27" t="str">
            <v>g</v>
          </cell>
          <cell r="K27">
            <v>41.40784511784512</v>
          </cell>
          <cell r="L27">
            <v>7453.4121212121217</v>
          </cell>
        </row>
        <row r="28">
          <cell r="B28"/>
          <cell r="C28"/>
          <cell r="D28" t="str">
            <v>소이갈릭용소스</v>
          </cell>
          <cell r="E28" t="str">
            <v>Garlic Flavour Soy Sauce</v>
          </cell>
          <cell r="F28"/>
          <cell r="G28" t="str">
            <v>S003</v>
          </cell>
          <cell r="H28"/>
          <cell r="I28">
            <v>400</v>
          </cell>
          <cell r="J28" t="str">
            <v>g</v>
          </cell>
          <cell r="K28">
            <v>112.734375</v>
          </cell>
          <cell r="L28">
            <v>45093.75</v>
          </cell>
        </row>
        <row r="29">
          <cell r="B29"/>
          <cell r="C29"/>
          <cell r="D29" t="str">
            <v>간장(진)</v>
          </cell>
          <cell r="E29" t="str">
            <v>Soy Sauce</v>
          </cell>
          <cell r="F29"/>
          <cell r="G29" t="str">
            <v>S029</v>
          </cell>
          <cell r="H29"/>
          <cell r="I29">
            <v>60</v>
          </cell>
          <cell r="J29" t="str">
            <v>g</v>
          </cell>
          <cell r="K29">
            <v>80.353333333333339</v>
          </cell>
          <cell r="L29">
            <v>4821.2000000000007</v>
          </cell>
        </row>
        <row r="30">
          <cell r="B30"/>
          <cell r="C30"/>
          <cell r="D30" t="str">
            <v>후추</v>
          </cell>
          <cell r="E30" t="str">
            <v>Black Pepper</v>
          </cell>
          <cell r="F30"/>
          <cell r="G30" t="str">
            <v>I021</v>
          </cell>
          <cell r="H30"/>
          <cell r="I30">
            <v>2</v>
          </cell>
          <cell r="J30" t="str">
            <v>g</v>
          </cell>
          <cell r="K30">
            <v>183.83838383838383</v>
          </cell>
          <cell r="L30">
            <v>367.67676767676767</v>
          </cell>
        </row>
        <row r="31">
          <cell r="B31"/>
          <cell r="C31"/>
          <cell r="D31" t="str">
            <v>참기름</v>
          </cell>
          <cell r="E31" t="str">
            <v>Sesame Oil</v>
          </cell>
          <cell r="F31"/>
          <cell r="G31" t="str">
            <v>O002</v>
          </cell>
          <cell r="H31"/>
          <cell r="I31">
            <v>4</v>
          </cell>
          <cell r="J31" t="str">
            <v>g</v>
          </cell>
          <cell r="K31">
            <v>100.72222222222223</v>
          </cell>
          <cell r="L31">
            <v>402.88888888888891</v>
          </cell>
        </row>
        <row r="32">
          <cell r="B32"/>
          <cell r="C32"/>
          <cell r="D32"/>
          <cell r="E32"/>
          <cell r="F32"/>
          <cell r="G32"/>
          <cell r="H32"/>
          <cell r="I32"/>
          <cell r="J32"/>
          <cell r="K32"/>
          <cell r="L32"/>
        </row>
        <row r="33">
          <cell r="B33" t="str">
            <v>CK032</v>
          </cell>
          <cell r="C33"/>
          <cell r="D33" t="str">
            <v>잡체 소스</v>
          </cell>
          <cell r="E33" t="str">
            <v>Japchae Sauce</v>
          </cell>
          <cell r="F33"/>
          <cell r="G33" t="str">
            <v>CK032</v>
          </cell>
          <cell r="H33"/>
          <cell r="I33">
            <v>466</v>
          </cell>
          <cell r="J33" t="str">
            <v>g</v>
          </cell>
          <cell r="K33">
            <v>108.76720097975463</v>
          </cell>
          <cell r="L33">
            <v>50685.515656565658</v>
          </cell>
        </row>
        <row r="34">
          <cell r="B34"/>
          <cell r="C34"/>
          <cell r="D34" t="str">
            <v>계란</v>
          </cell>
          <cell r="E34" t="str">
            <v>Egg</v>
          </cell>
          <cell r="F34"/>
          <cell r="G34" t="str">
            <v>I015</v>
          </cell>
          <cell r="H34"/>
          <cell r="I34">
            <v>1200</v>
          </cell>
          <cell r="J34" t="str">
            <v>g</v>
          </cell>
          <cell r="K34">
            <v>32.323232323232325</v>
          </cell>
          <cell r="L34">
            <v>38787.878787878792</v>
          </cell>
        </row>
        <row r="35">
          <cell r="B35"/>
          <cell r="C35"/>
          <cell r="D35" t="str">
            <v>소금</v>
          </cell>
          <cell r="E35" t="str">
            <v>Salt</v>
          </cell>
          <cell r="F35"/>
          <cell r="G35" t="str">
            <v>I002</v>
          </cell>
          <cell r="H35"/>
          <cell r="I35">
            <v>4</v>
          </cell>
          <cell r="J35" t="str">
            <v>g</v>
          </cell>
          <cell r="K35">
            <v>16.666666666666668</v>
          </cell>
          <cell r="L35">
            <v>66.666666666666671</v>
          </cell>
        </row>
        <row r="36">
          <cell r="B36"/>
          <cell r="C36"/>
          <cell r="D36" t="str">
            <v>정수</v>
          </cell>
          <cell r="E36" t="str">
            <v xml:space="preserve">Purified Water </v>
          </cell>
          <cell r="F36"/>
          <cell r="G36" t="str">
            <v>I001</v>
          </cell>
          <cell r="H36"/>
          <cell r="I36">
            <v>400</v>
          </cell>
          <cell r="J36" t="str">
            <v>g</v>
          </cell>
          <cell r="K36" t="str">
            <v>-</v>
          </cell>
          <cell r="L36" t="str">
            <v>-</v>
          </cell>
        </row>
        <row r="37">
          <cell r="B37"/>
          <cell r="C37"/>
          <cell r="D37" t="str">
            <v>후추</v>
          </cell>
          <cell r="E37" t="str">
            <v>Black Pepper</v>
          </cell>
          <cell r="F37"/>
          <cell r="G37" t="str">
            <v>I021</v>
          </cell>
          <cell r="H37"/>
          <cell r="I37">
            <v>1</v>
          </cell>
          <cell r="J37" t="str">
            <v>g</v>
          </cell>
          <cell r="K37">
            <v>183.83838383838383</v>
          </cell>
          <cell r="L37">
            <v>183.83838383838383</v>
          </cell>
        </row>
        <row r="38">
          <cell r="B38"/>
          <cell r="C38"/>
          <cell r="D38" t="str">
            <v>팜유</v>
          </cell>
          <cell r="E38" t="str">
            <v>Palm Oil</v>
          </cell>
          <cell r="F38"/>
          <cell r="G38" t="str">
            <v>O009</v>
          </cell>
          <cell r="H38"/>
          <cell r="I38">
            <v>10</v>
          </cell>
          <cell r="J38" t="str">
            <v>g</v>
          </cell>
          <cell r="K38">
            <v>25.707070707070706</v>
          </cell>
          <cell r="L38">
            <v>257.07070707070704</v>
          </cell>
        </row>
        <row r="39">
          <cell r="B39" t="str">
            <v>CK034</v>
          </cell>
          <cell r="C39"/>
          <cell r="D39" t="str">
            <v>스크램블에그</v>
          </cell>
          <cell r="E39" t="str">
            <v>Scramble egg</v>
          </cell>
          <cell r="F39"/>
          <cell r="G39" t="str">
            <v>CK034</v>
          </cell>
          <cell r="H39"/>
          <cell r="I39">
            <v>1615</v>
          </cell>
          <cell r="J39" t="str">
            <v>g</v>
          </cell>
          <cell r="K39">
            <v>24.331550802139038</v>
          </cell>
          <cell r="L39">
            <v>39295.454545454544</v>
          </cell>
        </row>
        <row r="40">
          <cell r="B40"/>
          <cell r="C40"/>
          <cell r="D40" t="str">
            <v>땅콩 버터</v>
          </cell>
          <cell r="E40" t="str">
            <v>Peanut Butter</v>
          </cell>
          <cell r="F40"/>
          <cell r="G40" t="str">
            <v>I070</v>
          </cell>
          <cell r="H40"/>
          <cell r="I40">
            <v>50</v>
          </cell>
          <cell r="J40" t="str">
            <v>g</v>
          </cell>
          <cell r="K40" t="str">
            <v>-</v>
          </cell>
          <cell r="L40" t="str">
            <v>-</v>
          </cell>
        </row>
        <row r="41">
          <cell r="B41"/>
          <cell r="C41"/>
          <cell r="D41" t="str">
            <v>백설탕</v>
          </cell>
          <cell r="E41" t="str">
            <v>White Sugar</v>
          </cell>
          <cell r="F41"/>
          <cell r="G41" t="str">
            <v>I027</v>
          </cell>
          <cell r="H41"/>
          <cell r="I41">
            <v>4</v>
          </cell>
          <cell r="J41" t="str">
            <v>g</v>
          </cell>
          <cell r="K41">
            <v>17.676767676767678</v>
          </cell>
          <cell r="L41">
            <v>70.707070707070713</v>
          </cell>
        </row>
        <row r="42">
          <cell r="B42"/>
          <cell r="C42"/>
          <cell r="D42" t="str">
            <v>간장(진)</v>
          </cell>
          <cell r="E42" t="str">
            <v>Soy Sauce</v>
          </cell>
          <cell r="F42"/>
          <cell r="G42" t="str">
            <v>S029</v>
          </cell>
          <cell r="H42"/>
          <cell r="I42">
            <v>10</v>
          </cell>
          <cell r="J42" t="str">
            <v>g</v>
          </cell>
          <cell r="K42">
            <v>13.392255892255893</v>
          </cell>
          <cell r="L42">
            <v>133.92255892255892</v>
          </cell>
        </row>
        <row r="43">
          <cell r="B43"/>
          <cell r="C43"/>
          <cell r="D43" t="str">
            <v>마요네즈</v>
          </cell>
          <cell r="E43" t="str">
            <v>KEWPIE CHEF STYLE MAYO</v>
          </cell>
          <cell r="F43"/>
          <cell r="G43" t="str">
            <v>S039</v>
          </cell>
          <cell r="H43"/>
          <cell r="I43">
            <v>50</v>
          </cell>
          <cell r="J43" t="str">
            <v>g</v>
          </cell>
          <cell r="K43">
            <v>52.696969696969703</v>
          </cell>
          <cell r="L43">
            <v>2634.848484848485</v>
          </cell>
        </row>
        <row r="44">
          <cell r="B44"/>
          <cell r="C44"/>
          <cell r="D44" t="str">
            <v>레몬농축액</v>
          </cell>
          <cell r="E44" t="str">
            <v>Lemon Syrup</v>
          </cell>
          <cell r="F44"/>
          <cell r="G44" t="str">
            <v>I041</v>
          </cell>
          <cell r="H44"/>
          <cell r="I44">
            <v>10</v>
          </cell>
          <cell r="J44" t="str">
            <v>g</v>
          </cell>
          <cell r="K44">
            <v>36.060606060606062</v>
          </cell>
          <cell r="L44">
            <v>360.60606060606062</v>
          </cell>
        </row>
        <row r="45">
          <cell r="B45"/>
          <cell r="C45"/>
          <cell r="D45" t="str">
            <v>연유</v>
          </cell>
          <cell r="E45" t="str">
            <v>Condensed Milk</v>
          </cell>
          <cell r="F45"/>
          <cell r="G45" t="str">
            <v>I071</v>
          </cell>
          <cell r="H45"/>
          <cell r="I45">
            <v>10</v>
          </cell>
          <cell r="J45" t="str">
            <v>g</v>
          </cell>
          <cell r="K45" t="str">
            <v>-</v>
          </cell>
          <cell r="L45" t="str">
            <v>-</v>
          </cell>
        </row>
        <row r="46">
          <cell r="B46"/>
          <cell r="C46"/>
          <cell r="D46" t="str">
            <v>정수</v>
          </cell>
          <cell r="E46" t="str">
            <v xml:space="preserve">Purified Water </v>
          </cell>
          <cell r="F46"/>
          <cell r="G46" t="str">
            <v>I001</v>
          </cell>
          <cell r="H46"/>
          <cell r="I46">
            <v>10</v>
          </cell>
          <cell r="J46" t="str">
            <v>g</v>
          </cell>
          <cell r="K46" t="str">
            <v>-</v>
          </cell>
          <cell r="L46" t="str">
            <v>-</v>
          </cell>
        </row>
        <row r="47">
          <cell r="B47" t="str">
            <v>CK035</v>
          </cell>
          <cell r="C47"/>
          <cell r="D47" t="str">
            <v>마라핫 땅콩소스</v>
          </cell>
          <cell r="E47" t="str">
            <v>Mala hot Penaut Sauce</v>
          </cell>
          <cell r="F47"/>
          <cell r="G47" t="str">
            <v>CK035</v>
          </cell>
          <cell r="H47"/>
          <cell r="I47">
            <v>144</v>
          </cell>
          <cell r="J47" t="str">
            <v>g</v>
          </cell>
          <cell r="K47">
            <v>22.222806771417883</v>
          </cell>
          <cell r="L47">
            <v>3200.0841750841751</v>
          </cell>
        </row>
        <row r="48">
          <cell r="B48"/>
          <cell r="C48"/>
          <cell r="D48" t="str">
            <v>마요네즈</v>
          </cell>
          <cell r="E48" t="str">
            <v>KEWPIE CHEF STYLE MAYO</v>
          </cell>
          <cell r="F48"/>
          <cell r="G48" t="str">
            <v>S039</v>
          </cell>
          <cell r="H48"/>
          <cell r="I48">
            <v>50</v>
          </cell>
          <cell r="J48" t="str">
            <v>g</v>
          </cell>
          <cell r="K48">
            <v>52.696969696969703</v>
          </cell>
          <cell r="L48">
            <v>2634.848484848485</v>
          </cell>
        </row>
        <row r="49">
          <cell r="B49"/>
          <cell r="C49"/>
          <cell r="D49" t="str">
            <v>연유</v>
          </cell>
          <cell r="E49" t="str">
            <v>Condensed Milk</v>
          </cell>
          <cell r="F49"/>
          <cell r="G49" t="str">
            <v>I071</v>
          </cell>
          <cell r="H49"/>
          <cell r="I49">
            <v>4</v>
          </cell>
          <cell r="J49" t="str">
            <v>g</v>
          </cell>
          <cell r="K49" t="str">
            <v>-</v>
          </cell>
          <cell r="L49" t="str">
            <v>-</v>
          </cell>
        </row>
        <row r="50">
          <cell r="B50" t="str">
            <v>CK036</v>
          </cell>
          <cell r="C50"/>
          <cell r="D50" t="str">
            <v>매운양념 연유소스</v>
          </cell>
          <cell r="E50" t="str">
            <v>Hot spicy milky sauce</v>
          </cell>
          <cell r="F50"/>
          <cell r="G50" t="str">
            <v>CK036</v>
          </cell>
          <cell r="H50"/>
          <cell r="I50">
            <v>54</v>
          </cell>
          <cell r="J50" t="str">
            <v>g</v>
          </cell>
          <cell r="K50">
            <v>48.79349046015713</v>
          </cell>
          <cell r="L50">
            <v>2634.848484848485</v>
          </cell>
        </row>
        <row r="51">
          <cell r="B51"/>
          <cell r="C51"/>
          <cell r="D51" t="e">
            <v>#N/A</v>
          </cell>
          <cell r="E51" t="e">
            <v>#N/A</v>
          </cell>
          <cell r="F51"/>
          <cell r="G51" t="str">
            <v>D008</v>
          </cell>
          <cell r="H51"/>
          <cell r="I51">
            <v>1000</v>
          </cell>
          <cell r="J51" t="e">
            <v>#N/A</v>
          </cell>
          <cell r="K51" t="e">
            <v>#N/A</v>
          </cell>
          <cell r="L51" t="str">
            <v>-</v>
          </cell>
        </row>
        <row r="52">
          <cell r="B52"/>
          <cell r="C52"/>
          <cell r="D52" t="str">
            <v>정수</v>
          </cell>
          <cell r="E52" t="str">
            <v xml:space="preserve">Purified Water </v>
          </cell>
          <cell r="F52"/>
          <cell r="G52" t="str">
            <v>I001</v>
          </cell>
          <cell r="H52"/>
          <cell r="I52">
            <v>3000</v>
          </cell>
          <cell r="J52" t="str">
            <v>g</v>
          </cell>
          <cell r="K52" t="str">
            <v>-</v>
          </cell>
          <cell r="L52" t="str">
            <v>-</v>
          </cell>
        </row>
        <row r="53">
          <cell r="B53" t="str">
            <v>CK037</v>
          </cell>
          <cell r="C53"/>
          <cell r="D53" t="str">
            <v xml:space="preserve">바닐라 아이스크림 </v>
          </cell>
          <cell r="E53" t="str">
            <v>Sundae Ice Cream (Vanila)</v>
          </cell>
          <cell r="F53"/>
          <cell r="G53" t="str">
            <v>CK037</v>
          </cell>
          <cell r="H53"/>
          <cell r="I53">
            <v>4000</v>
          </cell>
          <cell r="J53" t="str">
            <v>g</v>
          </cell>
          <cell r="K53">
            <v>0</v>
          </cell>
          <cell r="L53">
            <v>0</v>
          </cell>
        </row>
        <row r="54">
          <cell r="B54"/>
          <cell r="C54"/>
          <cell r="D54" t="e">
            <v>#N/A</v>
          </cell>
          <cell r="E54" t="e">
            <v>#N/A</v>
          </cell>
          <cell r="F54"/>
          <cell r="G54" t="str">
            <v>D009</v>
          </cell>
          <cell r="H54"/>
          <cell r="I54">
            <v>1000</v>
          </cell>
          <cell r="J54" t="e">
            <v>#N/A</v>
          </cell>
          <cell r="K54" t="e">
            <v>#N/A</v>
          </cell>
          <cell r="L54" t="str">
            <v>-</v>
          </cell>
        </row>
        <row r="55">
          <cell r="B55"/>
          <cell r="C55"/>
          <cell r="D55" t="str">
            <v>정수</v>
          </cell>
          <cell r="E55" t="str">
            <v xml:space="preserve">Purified Water </v>
          </cell>
          <cell r="F55"/>
          <cell r="G55" t="str">
            <v>I001</v>
          </cell>
          <cell r="H55"/>
          <cell r="I55">
            <v>3000</v>
          </cell>
          <cell r="J55" t="str">
            <v>g</v>
          </cell>
          <cell r="K55" t="str">
            <v>-</v>
          </cell>
          <cell r="L55" t="str">
            <v>-</v>
          </cell>
        </row>
        <row r="56">
          <cell r="B56" t="str">
            <v>CK038</v>
          </cell>
          <cell r="C56"/>
          <cell r="D56" t="str">
            <v xml:space="preserve">초코 아이스크림 </v>
          </cell>
          <cell r="E56" t="str">
            <v>Sundae Ice Cream (Choco)</v>
          </cell>
          <cell r="F56"/>
          <cell r="G56" t="str">
            <v>CK038</v>
          </cell>
          <cell r="H56"/>
          <cell r="I56">
            <v>4000</v>
          </cell>
          <cell r="J56" t="str">
            <v>g</v>
          </cell>
          <cell r="K56">
            <v>0</v>
          </cell>
          <cell r="L56">
            <v>0</v>
          </cell>
        </row>
        <row r="57">
          <cell r="B57"/>
          <cell r="C57"/>
          <cell r="D57" t="str">
            <v>당면</v>
          </cell>
          <cell r="E57" t="str">
            <v>Glass Noodle</v>
          </cell>
          <cell r="F57"/>
          <cell r="G57" t="str">
            <v>I054</v>
          </cell>
          <cell r="H57"/>
          <cell r="I57">
            <v>1000</v>
          </cell>
          <cell r="J57" t="str">
            <v>g</v>
          </cell>
          <cell r="K57">
            <v>32</v>
          </cell>
          <cell r="L57">
            <v>32000</v>
          </cell>
        </row>
        <row r="58">
          <cell r="B58"/>
          <cell r="C58"/>
          <cell r="D58" t="str">
            <v>잡체 소스</v>
          </cell>
          <cell r="E58" t="str">
            <v>Japchae Sauce</v>
          </cell>
          <cell r="F58"/>
          <cell r="G58" t="str">
            <v>CK032</v>
          </cell>
          <cell r="H58"/>
          <cell r="I58">
            <v>250</v>
          </cell>
          <cell r="J58" t="str">
            <v>g</v>
          </cell>
          <cell r="K58">
            <v>108.76720097975463</v>
          </cell>
          <cell r="L58">
            <v>27191.800244938659</v>
          </cell>
        </row>
        <row r="59">
          <cell r="B59"/>
          <cell r="C59"/>
          <cell r="D59" t="str">
            <v xml:space="preserve">양파 </v>
          </cell>
          <cell r="E59" t="str">
            <v>White Onion</v>
          </cell>
          <cell r="F59"/>
          <cell r="G59" t="str">
            <v>V007</v>
          </cell>
          <cell r="H59"/>
          <cell r="I59">
            <v>150</v>
          </cell>
          <cell r="J59" t="str">
            <v>g</v>
          </cell>
          <cell r="K59">
            <v>33.684210526315788</v>
          </cell>
          <cell r="L59">
            <v>5052.6315789473683</v>
          </cell>
        </row>
        <row r="60">
          <cell r="B60"/>
          <cell r="C60"/>
          <cell r="D60" t="str">
            <v>쪽파</v>
          </cell>
          <cell r="E60" t="str">
            <v>Scallion(Green Onion)</v>
          </cell>
          <cell r="F60"/>
          <cell r="G60" t="str">
            <v>V003</v>
          </cell>
          <cell r="H60"/>
          <cell r="I60">
            <v>50</v>
          </cell>
          <cell r="J60" t="str">
            <v>g</v>
          </cell>
          <cell r="K60">
            <v>22.105263157894736</v>
          </cell>
          <cell r="L60">
            <v>1105.2631578947369</v>
          </cell>
        </row>
        <row r="61">
          <cell r="B61"/>
          <cell r="C61"/>
          <cell r="D61" t="str">
            <v>당근</v>
          </cell>
          <cell r="E61" t="str">
            <v>Carrot</v>
          </cell>
          <cell r="F61"/>
          <cell r="G61" t="str">
            <v>V009</v>
          </cell>
          <cell r="H61"/>
          <cell r="I61">
            <v>50</v>
          </cell>
          <cell r="J61" t="str">
            <v>g</v>
          </cell>
          <cell r="K61">
            <v>24.210526315789476</v>
          </cell>
          <cell r="L61">
            <v>1210.5263157894738</v>
          </cell>
        </row>
        <row r="62">
          <cell r="B62"/>
          <cell r="C62"/>
          <cell r="D62" t="str">
            <v>목이버섯</v>
          </cell>
          <cell r="E62" t="str">
            <v>Ear Mushroom</v>
          </cell>
          <cell r="F62"/>
          <cell r="G62" t="str">
            <v>V024</v>
          </cell>
          <cell r="H62"/>
          <cell r="I62">
            <v>50</v>
          </cell>
          <cell r="J62" t="str">
            <v>g</v>
          </cell>
          <cell r="K62">
            <v>26.842105263157897</v>
          </cell>
          <cell r="L62">
            <v>1342.1052631578948</v>
          </cell>
        </row>
        <row r="63">
          <cell r="B63"/>
          <cell r="C63"/>
          <cell r="D63" t="str">
            <v>깨</v>
          </cell>
          <cell r="E63" t="str">
            <v>Sesame Seeds</v>
          </cell>
          <cell r="F63"/>
          <cell r="G63" t="str">
            <v>I003</v>
          </cell>
          <cell r="H63"/>
          <cell r="I63">
            <v>51</v>
          </cell>
          <cell r="J63" t="str">
            <v>g</v>
          </cell>
          <cell r="K63">
            <v>77.363636363636374</v>
          </cell>
          <cell r="L63">
            <v>3945.545454545455</v>
          </cell>
        </row>
        <row r="64">
          <cell r="B64" t="str">
            <v>CK039</v>
          </cell>
          <cell r="C64"/>
          <cell r="D64" t="str">
            <v>잡채</v>
          </cell>
          <cell r="E64" t="str">
            <v>Japchae</v>
          </cell>
          <cell r="F64"/>
          <cell r="G64" t="str">
            <v>CK038</v>
          </cell>
          <cell r="H64"/>
          <cell r="I64">
            <v>1601</v>
          </cell>
          <cell r="J64" t="str">
            <v>g</v>
          </cell>
          <cell r="K64">
            <v>44.876871964568139</v>
          </cell>
          <cell r="L64">
            <v>71847.872015273591</v>
          </cell>
        </row>
        <row r="65">
          <cell r="B65" t="str">
            <v>CK090</v>
          </cell>
          <cell r="C65"/>
          <cell r="D65" t="str">
            <v>크림 (Elle)</v>
          </cell>
          <cell r="E65" t="str">
            <v>Cream (Elle)</v>
          </cell>
          <cell r="F65"/>
          <cell r="G65" t="str">
            <v>CK090</v>
          </cell>
          <cell r="H65"/>
          <cell r="I65">
            <v>990</v>
          </cell>
          <cell r="J65" t="str">
            <v>g</v>
          </cell>
          <cell r="K65">
            <v>113.93939393939394</v>
          </cell>
          <cell r="L65">
            <v>112800</v>
          </cell>
        </row>
        <row r="66">
          <cell r="B66" t="str">
            <v>CK091</v>
          </cell>
          <cell r="C66"/>
          <cell r="D66" t="str">
            <v>크림 (Anchor)</v>
          </cell>
          <cell r="E66" t="str">
            <v>Cream (Anchor)</v>
          </cell>
          <cell r="F66"/>
          <cell r="G66" t="str">
            <v>CK091</v>
          </cell>
          <cell r="H66"/>
          <cell r="I66">
            <v>1000</v>
          </cell>
          <cell r="J66" t="str">
            <v>g</v>
          </cell>
          <cell r="K66">
            <v>85.581000000000003</v>
          </cell>
          <cell r="L66">
            <v>85581</v>
          </cell>
        </row>
        <row r="67">
          <cell r="B67" t="str">
            <v>CK092</v>
          </cell>
          <cell r="C67"/>
          <cell r="D67" t="str">
            <v>모짜렐라 치즈</v>
          </cell>
          <cell r="E67" t="str">
            <v>Mozarella Cheese</v>
          </cell>
          <cell r="F67"/>
          <cell r="G67" t="str">
            <v>CK092</v>
          </cell>
          <cell r="H67"/>
          <cell r="I67">
            <v>2000</v>
          </cell>
          <cell r="J67" t="str">
            <v>g</v>
          </cell>
          <cell r="K67">
            <v>153.01</v>
          </cell>
          <cell r="L67">
            <v>306020</v>
          </cell>
        </row>
        <row r="68">
          <cell r="B68" t="str">
            <v>CK093</v>
          </cell>
          <cell r="C68"/>
          <cell r="D68" t="str">
            <v>파마산 치즈</v>
          </cell>
          <cell r="E68" t="str">
            <v>Parmasan Cheese</v>
          </cell>
          <cell r="F68"/>
          <cell r="G68" t="str">
            <v>CK093</v>
          </cell>
          <cell r="H68"/>
          <cell r="I68">
            <v>1000</v>
          </cell>
          <cell r="J68" t="str">
            <v>g</v>
          </cell>
          <cell r="K68">
            <v>288.10199999999998</v>
          </cell>
          <cell r="L68">
            <v>288102</v>
          </cell>
        </row>
        <row r="69">
          <cell r="B69"/>
          <cell r="C69"/>
          <cell r="D69" t="str">
            <v>탄산음료 베이스</v>
          </cell>
          <cell r="E69" t="str">
            <v>Soft Drink Base</v>
          </cell>
          <cell r="F69"/>
          <cell r="G69" t="str">
            <v>D001</v>
          </cell>
          <cell r="H69"/>
          <cell r="I69">
            <v>28</v>
          </cell>
          <cell r="J69" t="str">
            <v>ml</v>
          </cell>
          <cell r="K69">
            <v>70.707070707070713</v>
          </cell>
          <cell r="L69">
            <v>1979.7979797979799</v>
          </cell>
        </row>
        <row r="70">
          <cell r="B70"/>
          <cell r="C70"/>
          <cell r="D70">
            <v>0</v>
          </cell>
          <cell r="E70" t="str">
            <v>BONALLIE BLACK TEA</v>
          </cell>
          <cell r="F70"/>
          <cell r="G70" t="str">
            <v>D012</v>
          </cell>
          <cell r="H70"/>
          <cell r="I70">
            <v>4.13</v>
          </cell>
          <cell r="J70" t="str">
            <v>g</v>
          </cell>
          <cell r="K70">
            <v>60.326086956521742</v>
          </cell>
          <cell r="L70">
            <v>249.14673913043478</v>
          </cell>
        </row>
        <row r="71">
          <cell r="B71"/>
          <cell r="C71"/>
          <cell r="D71" t="e">
            <v>#N/A</v>
          </cell>
          <cell r="E71" t="e">
            <v>#N/A</v>
          </cell>
          <cell r="F71"/>
          <cell r="G71" t="str">
            <v>I100</v>
          </cell>
          <cell r="H71"/>
          <cell r="I71">
            <v>75</v>
          </cell>
          <cell r="J71" t="str">
            <v>ml</v>
          </cell>
          <cell r="K71"/>
          <cell r="L71">
            <v>0</v>
          </cell>
        </row>
        <row r="72">
          <cell r="B72"/>
          <cell r="C72"/>
          <cell r="D72" t="str">
            <v>정수</v>
          </cell>
          <cell r="E72" t="str">
            <v xml:space="preserve">Purified Water </v>
          </cell>
          <cell r="F72"/>
          <cell r="G72" t="str">
            <v>I001</v>
          </cell>
          <cell r="H72"/>
          <cell r="I72">
            <v>52.5</v>
          </cell>
          <cell r="J72" t="str">
            <v>ml</v>
          </cell>
          <cell r="K72"/>
          <cell r="L72">
            <v>0</v>
          </cell>
        </row>
        <row r="73">
          <cell r="B73" t="str">
            <v>CK100</v>
          </cell>
          <cell r="C73"/>
          <cell r="D73" t="str">
            <v>탄산음료</v>
          </cell>
          <cell r="E73" t="str">
            <v>Soft Drink</v>
          </cell>
          <cell r="F73"/>
          <cell r="G73" t="str">
            <v>CK100</v>
          </cell>
          <cell r="H73"/>
          <cell r="I73">
            <v>250</v>
          </cell>
          <cell r="J73" t="str">
            <v>ml</v>
          </cell>
          <cell r="K73">
            <v>8.9157788757136593</v>
          </cell>
          <cell r="L73">
            <v>2228.9447189284147</v>
          </cell>
        </row>
        <row r="74">
          <cell r="B74" t="str">
            <v>CK101</v>
          </cell>
          <cell r="C74"/>
          <cell r="D74"/>
          <cell r="E74" t="str">
            <v xml:space="preserve">Tteokbokki </v>
          </cell>
          <cell r="F74"/>
          <cell r="G74" t="str">
            <v>CK101</v>
          </cell>
          <cell r="H74"/>
          <cell r="I74">
            <v>2450</v>
          </cell>
          <cell r="J74" t="str">
            <v>g</v>
          </cell>
          <cell r="K74">
            <v>26.935974869075718</v>
          </cell>
          <cell r="L74">
            <v>65993.138429235507</v>
          </cell>
        </row>
        <row r="75">
          <cell r="C75"/>
          <cell r="D75"/>
          <cell r="E75" t="str">
            <v>Tteokbokki Solution</v>
          </cell>
          <cell r="F75"/>
          <cell r="G75" t="str">
            <v>CK026</v>
          </cell>
          <cell r="H75"/>
          <cell r="I75">
            <v>1500</v>
          </cell>
          <cell r="J75" t="str">
            <v>g</v>
          </cell>
          <cell r="K75">
            <v>10.199223244866909</v>
          </cell>
          <cell r="L75">
            <v>15298.834867300364</v>
          </cell>
        </row>
        <row r="76">
          <cell r="B76"/>
          <cell r="C76"/>
          <cell r="D76"/>
          <cell r="E76" t="str">
            <v xml:space="preserve">Rice Cake </v>
          </cell>
          <cell r="F76"/>
          <cell r="G76" t="str">
            <v>I031</v>
          </cell>
          <cell r="H76"/>
          <cell r="I76">
            <v>800</v>
          </cell>
          <cell r="J76" t="str">
            <v>g</v>
          </cell>
          <cell r="K76">
            <v>54.005050505050512</v>
          </cell>
          <cell r="L76">
            <v>43204.04040404041</v>
          </cell>
        </row>
        <row r="77">
          <cell r="B77"/>
          <cell r="C77"/>
          <cell r="D77"/>
          <cell r="E77" t="str">
            <v>Fish Cake</v>
          </cell>
          <cell r="F77"/>
          <cell r="G77" t="str">
            <v>M016</v>
          </cell>
          <cell r="H77"/>
          <cell r="I77">
            <v>100</v>
          </cell>
          <cell r="J77" t="str">
            <v>g</v>
          </cell>
          <cell r="K77">
            <v>61.05</v>
          </cell>
          <cell r="L77">
            <v>6105</v>
          </cell>
        </row>
        <row r="78">
          <cell r="B78"/>
          <cell r="C78"/>
          <cell r="D78"/>
          <cell r="E78" t="str">
            <v>Scallion(Green Onion)</v>
          </cell>
          <cell r="F78"/>
          <cell r="G78" t="str">
            <v>V003</v>
          </cell>
          <cell r="H78"/>
          <cell r="I78">
            <v>50</v>
          </cell>
          <cell r="J78" t="str">
            <v>g</v>
          </cell>
          <cell r="K78">
            <v>27.705263157894738</v>
          </cell>
          <cell r="L78">
            <v>1385.2631578947369</v>
          </cell>
        </row>
        <row r="79">
          <cell r="B79" t="str">
            <v>CK102</v>
          </cell>
          <cell r="C79"/>
          <cell r="D79"/>
          <cell r="E79" t="str">
            <v>Rose Tteokbokki</v>
          </cell>
          <cell r="F79"/>
          <cell r="G79" t="str">
            <v>CK102</v>
          </cell>
          <cell r="H79"/>
          <cell r="I79">
            <v>2035</v>
          </cell>
          <cell r="J79" t="str">
            <v>g</v>
          </cell>
          <cell r="K79">
            <v>42.487026600141888</v>
          </cell>
          <cell r="L79">
            <v>86461.099131288749</v>
          </cell>
        </row>
        <row r="80">
          <cell r="B80"/>
          <cell r="C80"/>
          <cell r="D80"/>
          <cell r="E80" t="str">
            <v xml:space="preserve">Rice Cake </v>
          </cell>
          <cell r="F80"/>
          <cell r="G80" t="str">
            <v>I031</v>
          </cell>
          <cell r="H80"/>
          <cell r="I80">
            <v>800</v>
          </cell>
          <cell r="J80" t="str">
            <v>g</v>
          </cell>
          <cell r="K80">
            <v>54.005050505050512</v>
          </cell>
          <cell r="L80">
            <v>43204.04040404041</v>
          </cell>
        </row>
        <row r="81">
          <cell r="B81"/>
          <cell r="C81"/>
          <cell r="D81"/>
          <cell r="E81" t="str">
            <v>Fish Cake</v>
          </cell>
          <cell r="F81"/>
          <cell r="G81" t="str">
            <v>M016</v>
          </cell>
          <cell r="H81"/>
          <cell r="I81">
            <v>85</v>
          </cell>
          <cell r="J81" t="str">
            <v>g</v>
          </cell>
          <cell r="K81">
            <v>61.05</v>
          </cell>
          <cell r="L81">
            <v>5189.25</v>
          </cell>
        </row>
        <row r="82">
          <cell r="B82"/>
          <cell r="C82"/>
          <cell r="D82"/>
          <cell r="E82" t="str">
            <v>Scallion(Green Onion)</v>
          </cell>
          <cell r="F82"/>
          <cell r="G82" t="str">
            <v>V003</v>
          </cell>
          <cell r="H82"/>
          <cell r="I82">
            <v>50</v>
          </cell>
          <cell r="J82" t="str">
            <v>g</v>
          </cell>
          <cell r="K82">
            <v>27.705263157894738</v>
          </cell>
          <cell r="L82">
            <v>1385.2631578947369</v>
          </cell>
        </row>
        <row r="83">
          <cell r="B83"/>
          <cell r="C83"/>
          <cell r="D83"/>
          <cell r="E83" t="str">
            <v>Tteokbokki Solution</v>
          </cell>
          <cell r="F83"/>
          <cell r="G83" t="str">
            <v>CK026</v>
          </cell>
          <cell r="H83"/>
          <cell r="I83">
            <v>1100</v>
          </cell>
          <cell r="J83" t="str">
            <v>g</v>
          </cell>
          <cell r="K83">
            <v>10.199223244866909</v>
          </cell>
          <cell r="L83">
            <v>11219.145569353599</v>
          </cell>
        </row>
        <row r="84">
          <cell r="B84"/>
          <cell r="C84"/>
          <cell r="D84"/>
          <cell r="E84" t="str">
            <v xml:space="preserve">CHILLED RICH DOUBLE CREAM </v>
          </cell>
          <cell r="F84"/>
          <cell r="G84" t="str">
            <v>I077</v>
          </cell>
          <cell r="H84"/>
          <cell r="I84">
            <v>370</v>
          </cell>
          <cell r="J84" t="str">
            <v>g</v>
          </cell>
          <cell r="K84">
            <v>68.819999999999993</v>
          </cell>
          <cell r="L84">
            <v>25463.399999999998</v>
          </cell>
        </row>
        <row r="85">
          <cell r="B85" t="str">
            <v>CK026</v>
          </cell>
          <cell r="C85"/>
          <cell r="D85" t="str">
            <v>떡볶이 솔루션</v>
          </cell>
          <cell r="E85" t="str">
            <v>Tteokbokki Solution</v>
          </cell>
          <cell r="F85"/>
          <cell r="G85" t="str">
            <v>CK026</v>
          </cell>
          <cell r="H85"/>
          <cell r="I85">
            <v>4000</v>
          </cell>
          <cell r="J85" t="str">
            <v>g</v>
          </cell>
          <cell r="K85">
            <v>10.199223244866909</v>
          </cell>
          <cell r="L85">
            <v>40796.892979467637</v>
          </cell>
        </row>
        <row r="86">
          <cell r="B86"/>
          <cell r="C86"/>
          <cell r="D86" t="str">
            <v>정수</v>
          </cell>
          <cell r="E86" t="str">
            <v xml:space="preserve">Purified Water </v>
          </cell>
          <cell r="F86"/>
          <cell r="G86" t="str">
            <v>I001</v>
          </cell>
          <cell r="H86"/>
          <cell r="I86">
            <v>3000</v>
          </cell>
          <cell r="J86" t="str">
            <v>g</v>
          </cell>
          <cell r="K86" t="str">
            <v>-</v>
          </cell>
          <cell r="L86" t="str">
            <v>-</v>
          </cell>
        </row>
        <row r="87">
          <cell r="B87"/>
          <cell r="C87"/>
          <cell r="D87" t="str">
            <v>떡볶이소스</v>
          </cell>
          <cell r="E87" t="str">
            <v>Tteokbokki Sauce</v>
          </cell>
          <cell r="F87"/>
          <cell r="G87" t="str">
            <v>CK019</v>
          </cell>
          <cell r="H87"/>
          <cell r="I87">
            <v>1000</v>
          </cell>
          <cell r="J87" t="str">
            <v>g</v>
          </cell>
          <cell r="K87">
            <v>40.796892979467636</v>
          </cell>
          <cell r="L87">
            <v>40796.892979467637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theme="1"/>
  </sheetPr>
  <dimension ref="B2:S187"/>
  <sheetViews>
    <sheetView showGridLines="0" topLeftCell="A101" zoomScale="96" zoomScaleNormal="96" workbookViewId="0">
      <selection activeCell="F114" sqref="F114:H114"/>
    </sheetView>
  </sheetViews>
  <sheetFormatPr defaultRowHeight="14.25"/>
  <cols>
    <col min="1" max="1" width="2.19921875" customWidth="1"/>
    <col min="2" max="2" width="11.59765625" style="1" bestFit="1" customWidth="1"/>
    <col min="3" max="3" width="23.46484375" hidden="1" customWidth="1"/>
    <col min="4" max="4" width="30.53125" style="1" customWidth="1"/>
    <col min="5" max="5" width="31.19921875" hidden="1" customWidth="1"/>
    <col min="6" max="6" width="12.59765625" style="105" bestFit="1" customWidth="1"/>
    <col min="7" max="7" width="13.06640625" style="196" bestFit="1" customWidth="1"/>
    <col min="8" max="8" width="13.6640625" style="197" customWidth="1"/>
    <col min="9" max="9" width="13.19921875" style="198" hidden="1" customWidth="1"/>
    <col min="10" max="10" width="9" style="3" customWidth="1"/>
    <col min="11" max="11" width="9" style="1"/>
    <col min="12" max="12" width="15.3984375" style="5" customWidth="1"/>
    <col min="13" max="13" width="14.19921875" style="3" customWidth="1"/>
    <col min="14" max="14" width="10.86328125" style="5" customWidth="1"/>
    <col min="15" max="15" width="20.06640625" bestFit="1" customWidth="1"/>
    <col min="16" max="17" width="13" bestFit="1" customWidth="1"/>
    <col min="19" max="19" width="10.06640625" bestFit="1" customWidth="1"/>
  </cols>
  <sheetData>
    <row r="2" spans="2:15">
      <c r="B2" s="494" t="s">
        <v>62</v>
      </c>
      <c r="C2" s="495"/>
      <c r="D2" s="105"/>
      <c r="E2" s="495"/>
      <c r="J2" s="496"/>
      <c r="K2" s="105"/>
      <c r="L2" s="497"/>
      <c r="M2" s="496"/>
      <c r="N2" s="497"/>
      <c r="O2" s="495"/>
    </row>
    <row r="3" spans="2:15">
      <c r="B3" s="105"/>
      <c r="C3" s="495"/>
      <c r="D3" s="105"/>
      <c r="E3" s="495"/>
      <c r="H3" s="254" t="s">
        <v>988</v>
      </c>
      <c r="I3" s="255">
        <v>16340</v>
      </c>
      <c r="J3" s="496"/>
      <c r="K3" s="105"/>
      <c r="L3" s="496" t="s">
        <v>174</v>
      </c>
      <c r="M3" s="496"/>
      <c r="N3" s="498"/>
      <c r="O3" s="495" t="s">
        <v>189</v>
      </c>
    </row>
    <row r="4" spans="2:15">
      <c r="B4" s="840" t="s">
        <v>0</v>
      </c>
      <c r="C4" s="840" t="s">
        <v>1</v>
      </c>
      <c r="D4" s="840"/>
      <c r="E4" s="840"/>
      <c r="F4" s="840" t="s">
        <v>55</v>
      </c>
      <c r="G4" s="840"/>
      <c r="H4" s="840"/>
      <c r="I4" s="840"/>
      <c r="J4" s="840"/>
      <c r="K4" s="840"/>
      <c r="L4" s="840"/>
      <c r="M4" s="588" t="s">
        <v>56</v>
      </c>
      <c r="N4" s="589"/>
      <c r="O4" s="495"/>
    </row>
    <row r="5" spans="2:15">
      <c r="B5" s="840"/>
      <c r="C5" s="537" t="s">
        <v>2</v>
      </c>
      <c r="D5" s="537" t="s">
        <v>3</v>
      </c>
      <c r="E5" s="537" t="s">
        <v>90</v>
      </c>
      <c r="F5" s="590" t="s">
        <v>47</v>
      </c>
      <c r="G5" s="591" t="s">
        <v>48</v>
      </c>
      <c r="H5" s="592" t="s">
        <v>986</v>
      </c>
      <c r="I5" s="593" t="s">
        <v>175</v>
      </c>
      <c r="J5" s="594" t="s">
        <v>49</v>
      </c>
      <c r="K5" s="537" t="s">
        <v>60</v>
      </c>
      <c r="L5" s="595" t="s">
        <v>1144</v>
      </c>
      <c r="M5" s="594" t="s">
        <v>57</v>
      </c>
      <c r="N5" s="595" t="s">
        <v>58</v>
      </c>
      <c r="O5" s="495"/>
    </row>
    <row r="6" spans="2:15" ht="18.95" customHeight="1">
      <c r="B6" s="596" t="s">
        <v>728</v>
      </c>
      <c r="C6" s="555" t="s">
        <v>5</v>
      </c>
      <c r="D6" s="555" t="s">
        <v>6</v>
      </c>
      <c r="E6" s="555"/>
      <c r="F6" s="555" t="s">
        <v>50</v>
      </c>
      <c r="G6" s="597">
        <v>20000</v>
      </c>
      <c r="H6" s="598">
        <v>1387500</v>
      </c>
      <c r="I6" s="599">
        <v>57.6</v>
      </c>
      <c r="J6" s="600">
        <v>0.85</v>
      </c>
      <c r="K6" s="601" t="s">
        <v>61</v>
      </c>
      <c r="L6" s="602">
        <f t="shared" ref="L6:L49" si="0">IFERROR(H6/G6/J6,"-")</f>
        <v>81.617647058823536</v>
      </c>
      <c r="M6" s="600"/>
      <c r="N6" s="603">
        <f>IFERROR(L6*(1+M6),"-")</f>
        <v>81.617647058823536</v>
      </c>
      <c r="O6" s="495"/>
    </row>
    <row r="7" spans="2:15" ht="18.95" customHeight="1">
      <c r="B7" s="596" t="s">
        <v>184</v>
      </c>
      <c r="C7" s="555" t="s">
        <v>8</v>
      </c>
      <c r="D7" s="555" t="s">
        <v>9</v>
      </c>
      <c r="E7" s="555"/>
      <c r="F7" s="555" t="s">
        <v>52</v>
      </c>
      <c r="G7" s="597">
        <v>20000</v>
      </c>
      <c r="H7" s="598">
        <v>1443000</v>
      </c>
      <c r="I7" s="599">
        <v>60</v>
      </c>
      <c r="J7" s="600">
        <v>0.98</v>
      </c>
      <c r="K7" s="601" t="s">
        <v>61</v>
      </c>
      <c r="L7" s="602">
        <f t="shared" si="0"/>
        <v>73.622448979591837</v>
      </c>
      <c r="M7" s="600"/>
      <c r="N7" s="603">
        <f t="shared" ref="N7:N20" si="1">IFERROR(L7*(1+M7),"-")</f>
        <v>73.622448979591837</v>
      </c>
      <c r="O7" s="495"/>
    </row>
    <row r="8" spans="2:15" ht="18.95" customHeight="1">
      <c r="B8" s="596" t="s">
        <v>10</v>
      </c>
      <c r="C8" s="555" t="s">
        <v>11</v>
      </c>
      <c r="D8" s="555" t="s">
        <v>12</v>
      </c>
      <c r="E8" s="555"/>
      <c r="F8" s="555" t="s">
        <v>52</v>
      </c>
      <c r="G8" s="597">
        <v>20000</v>
      </c>
      <c r="H8" s="598">
        <v>2303250</v>
      </c>
      <c r="I8" s="599">
        <v>96</v>
      </c>
      <c r="J8" s="600">
        <v>0.98</v>
      </c>
      <c r="K8" s="601" t="s">
        <v>61</v>
      </c>
      <c r="L8" s="602">
        <f t="shared" si="0"/>
        <v>117.51275510204081</v>
      </c>
      <c r="M8" s="600"/>
      <c r="N8" s="603">
        <f t="shared" si="1"/>
        <v>117.51275510204081</v>
      </c>
      <c r="O8" s="495"/>
    </row>
    <row r="9" spans="2:15" ht="18.95" hidden="1" customHeight="1">
      <c r="B9" s="596" t="s">
        <v>13</v>
      </c>
      <c r="C9" s="555" t="s">
        <v>14</v>
      </c>
      <c r="D9" s="555" t="s">
        <v>15</v>
      </c>
      <c r="E9" s="555"/>
      <c r="F9" s="555" t="s">
        <v>52</v>
      </c>
      <c r="G9" s="597">
        <v>20000</v>
      </c>
      <c r="H9" s="604"/>
      <c r="I9" s="599"/>
      <c r="J9" s="600">
        <v>0.98</v>
      </c>
      <c r="K9" s="601" t="s">
        <v>61</v>
      </c>
      <c r="L9" s="602">
        <f t="shared" si="0"/>
        <v>0</v>
      </c>
      <c r="M9" s="600"/>
      <c r="N9" s="603">
        <f t="shared" si="1"/>
        <v>0</v>
      </c>
      <c r="O9" s="495"/>
    </row>
    <row r="10" spans="2:15" ht="18.75" hidden="1" customHeight="1">
      <c r="B10" s="596" t="s">
        <v>16</v>
      </c>
      <c r="C10" s="555" t="s">
        <v>183</v>
      </c>
      <c r="D10" s="555"/>
      <c r="E10" s="555"/>
      <c r="F10" s="555" t="s">
        <v>50</v>
      </c>
      <c r="G10" s="597">
        <v>20000</v>
      </c>
      <c r="H10" s="604"/>
      <c r="I10" s="599"/>
      <c r="J10" s="600">
        <v>0.98</v>
      </c>
      <c r="K10" s="601" t="s">
        <v>61</v>
      </c>
      <c r="L10" s="602">
        <f t="shared" si="0"/>
        <v>0</v>
      </c>
      <c r="M10" s="600"/>
      <c r="N10" s="603">
        <f t="shared" si="1"/>
        <v>0</v>
      </c>
      <c r="O10" s="495"/>
    </row>
    <row r="11" spans="2:15" ht="14.25" hidden="1" customHeight="1">
      <c r="B11" s="596" t="s">
        <v>19</v>
      </c>
      <c r="C11" s="555" t="s">
        <v>36</v>
      </c>
      <c r="D11" s="555" t="s">
        <v>37</v>
      </c>
      <c r="E11" s="555"/>
      <c r="F11" s="555" t="s">
        <v>53</v>
      </c>
      <c r="G11" s="597">
        <f>500*15</f>
        <v>7500</v>
      </c>
      <c r="H11" s="604"/>
      <c r="I11" s="599"/>
      <c r="J11" s="600">
        <v>0.98</v>
      </c>
      <c r="K11" s="601" t="s">
        <v>61</v>
      </c>
      <c r="L11" s="602">
        <f t="shared" si="0"/>
        <v>0</v>
      </c>
      <c r="M11" s="600"/>
      <c r="N11" s="603">
        <f>IFERROR(L11*(1+M11),"-")</f>
        <v>0</v>
      </c>
      <c r="O11" s="495"/>
    </row>
    <row r="12" spans="2:15" ht="18.95" customHeight="1">
      <c r="B12" s="596" t="s">
        <v>22</v>
      </c>
      <c r="C12" s="555" t="s">
        <v>17</v>
      </c>
      <c r="D12" s="555" t="s">
        <v>18</v>
      </c>
      <c r="E12" s="555"/>
      <c r="F12" s="555" t="s">
        <v>50</v>
      </c>
      <c r="G12" s="597">
        <v>20000</v>
      </c>
      <c r="H12" s="598">
        <v>1259850</v>
      </c>
      <c r="I12" s="599">
        <v>52.5</v>
      </c>
      <c r="J12" s="600">
        <v>0.98</v>
      </c>
      <c r="K12" s="601" t="s">
        <v>61</v>
      </c>
      <c r="L12" s="602">
        <f t="shared" si="0"/>
        <v>64.278061224489804</v>
      </c>
      <c r="M12" s="600"/>
      <c r="N12" s="603">
        <f t="shared" si="1"/>
        <v>64.278061224489804</v>
      </c>
      <c r="O12" s="495"/>
    </row>
    <row r="13" spans="2:15" ht="18.95" hidden="1" customHeight="1">
      <c r="B13" s="596" t="s">
        <v>638</v>
      </c>
      <c r="C13" s="555" t="s">
        <v>20</v>
      </c>
      <c r="D13" s="555" t="s">
        <v>21</v>
      </c>
      <c r="E13" s="555"/>
      <c r="F13" s="555" t="s">
        <v>917</v>
      </c>
      <c r="G13" s="597">
        <v>10800</v>
      </c>
      <c r="H13" s="604"/>
      <c r="I13" s="599">
        <f>H13/$I$3</f>
        <v>0</v>
      </c>
      <c r="J13" s="600">
        <v>0.99</v>
      </c>
      <c r="K13" s="601" t="s">
        <v>61</v>
      </c>
      <c r="L13" s="602">
        <f t="shared" si="0"/>
        <v>0</v>
      </c>
      <c r="M13" s="600"/>
      <c r="N13" s="603">
        <f t="shared" si="1"/>
        <v>0</v>
      </c>
      <c r="O13" s="495"/>
    </row>
    <row r="14" spans="2:15" ht="18.95" hidden="1" customHeight="1">
      <c r="B14" s="596" t="s">
        <v>27</v>
      </c>
      <c r="C14" s="555" t="s">
        <v>23</v>
      </c>
      <c r="D14" s="555" t="s">
        <v>24</v>
      </c>
      <c r="E14" s="555"/>
      <c r="F14" s="555" t="s">
        <v>50</v>
      </c>
      <c r="G14" s="597">
        <v>20000</v>
      </c>
      <c r="H14" s="604"/>
      <c r="I14" s="599"/>
      <c r="J14" s="600">
        <v>0.98</v>
      </c>
      <c r="K14" s="601" t="s">
        <v>61</v>
      </c>
      <c r="L14" s="602">
        <f t="shared" si="0"/>
        <v>0</v>
      </c>
      <c r="M14" s="600"/>
      <c r="N14" s="603">
        <f t="shared" si="1"/>
        <v>0</v>
      </c>
      <c r="O14" s="495"/>
    </row>
    <row r="15" spans="2:15" ht="18.95" hidden="1" customHeight="1">
      <c r="B15" s="596" t="s">
        <v>30</v>
      </c>
      <c r="C15" s="555" t="s">
        <v>25</v>
      </c>
      <c r="D15" s="555" t="s">
        <v>26</v>
      </c>
      <c r="E15" s="555"/>
      <c r="F15" s="555" t="s">
        <v>51</v>
      </c>
      <c r="G15" s="597">
        <v>20000</v>
      </c>
      <c r="H15" s="604"/>
      <c r="I15" s="599"/>
      <c r="J15" s="600">
        <v>0.98</v>
      </c>
      <c r="K15" s="601" t="s">
        <v>61</v>
      </c>
      <c r="L15" s="602">
        <f t="shared" si="0"/>
        <v>0</v>
      </c>
      <c r="M15" s="600"/>
      <c r="N15" s="603">
        <f t="shared" si="1"/>
        <v>0</v>
      </c>
      <c r="O15" s="495"/>
    </row>
    <row r="16" spans="2:15" ht="18.95" hidden="1" customHeight="1">
      <c r="B16" s="596" t="s">
        <v>33</v>
      </c>
      <c r="C16" s="555" t="s">
        <v>28</v>
      </c>
      <c r="D16" s="555" t="s">
        <v>29</v>
      </c>
      <c r="E16" s="555"/>
      <c r="F16" s="555" t="s">
        <v>896</v>
      </c>
      <c r="G16" s="597">
        <v>3750</v>
      </c>
      <c r="H16" s="604"/>
      <c r="I16" s="599">
        <f>H16/$I$3</f>
        <v>0</v>
      </c>
      <c r="J16" s="600">
        <v>0.98</v>
      </c>
      <c r="K16" s="601" t="s">
        <v>61</v>
      </c>
      <c r="L16" s="602">
        <f t="shared" si="0"/>
        <v>0</v>
      </c>
      <c r="M16" s="600"/>
      <c r="N16" s="603">
        <f t="shared" si="1"/>
        <v>0</v>
      </c>
      <c r="O16" s="495"/>
    </row>
    <row r="17" spans="2:17">
      <c r="B17" s="596" t="s">
        <v>690</v>
      </c>
      <c r="C17" s="555" t="s">
        <v>31</v>
      </c>
      <c r="D17" s="555" t="s">
        <v>32</v>
      </c>
      <c r="E17" s="555"/>
      <c r="F17" s="555" t="s">
        <v>1161</v>
      </c>
      <c r="G17" s="597">
        <v>25000</v>
      </c>
      <c r="H17" s="598">
        <v>7215000</v>
      </c>
      <c r="I17" s="599">
        <v>300</v>
      </c>
      <c r="J17" s="600">
        <v>0.98</v>
      </c>
      <c r="K17" s="601" t="s">
        <v>61</v>
      </c>
      <c r="L17" s="602">
        <f t="shared" si="0"/>
        <v>294.48979591836735</v>
      </c>
      <c r="M17" s="600"/>
      <c r="N17" s="603">
        <f t="shared" si="1"/>
        <v>294.48979591836735</v>
      </c>
      <c r="O17" s="495"/>
    </row>
    <row r="18" spans="2:17" ht="14.25" hidden="1" customHeight="1">
      <c r="B18" s="596" t="s">
        <v>38</v>
      </c>
      <c r="C18" s="605" t="s">
        <v>34</v>
      </c>
      <c r="D18" s="605" t="s">
        <v>35</v>
      </c>
      <c r="E18" s="555"/>
      <c r="F18" s="555" t="s">
        <v>54</v>
      </c>
      <c r="G18" s="597">
        <v>20000</v>
      </c>
      <c r="H18" s="604"/>
      <c r="I18" s="599">
        <f>H18/$I$3</f>
        <v>0</v>
      </c>
      <c r="J18" s="600">
        <v>0.98</v>
      </c>
      <c r="K18" s="601" t="s">
        <v>61</v>
      </c>
      <c r="L18" s="602">
        <f t="shared" si="0"/>
        <v>0</v>
      </c>
      <c r="M18" s="600"/>
      <c r="N18" s="603">
        <f t="shared" si="1"/>
        <v>0</v>
      </c>
      <c r="O18" s="495"/>
    </row>
    <row r="19" spans="2:17" ht="14.25" hidden="1" customHeight="1">
      <c r="B19" s="596" t="s">
        <v>41</v>
      </c>
      <c r="C19" s="605" t="s">
        <v>39</v>
      </c>
      <c r="D19" s="605" t="s">
        <v>40</v>
      </c>
      <c r="E19" s="555"/>
      <c r="F19" s="555" t="s">
        <v>50</v>
      </c>
      <c r="G19" s="597">
        <v>20000</v>
      </c>
      <c r="H19" s="604"/>
      <c r="I19" s="599"/>
      <c r="J19" s="600">
        <v>0.98</v>
      </c>
      <c r="K19" s="601" t="s">
        <v>61</v>
      </c>
      <c r="L19" s="602">
        <f t="shared" si="0"/>
        <v>0</v>
      </c>
      <c r="M19" s="600"/>
      <c r="N19" s="603">
        <f t="shared" si="1"/>
        <v>0</v>
      </c>
      <c r="O19" s="495"/>
    </row>
    <row r="20" spans="2:17" ht="14.25" hidden="1" customHeight="1">
      <c r="B20" s="596" t="s">
        <v>44</v>
      </c>
      <c r="C20" s="605" t="s">
        <v>42</v>
      </c>
      <c r="D20" s="605" t="s">
        <v>43</v>
      </c>
      <c r="E20" s="555"/>
      <c r="F20" s="555" t="s">
        <v>916</v>
      </c>
      <c r="G20" s="597">
        <v>9000</v>
      </c>
      <c r="H20" s="604"/>
      <c r="I20" s="599">
        <f>H20/$I$3</f>
        <v>0</v>
      </c>
      <c r="J20" s="600">
        <v>0.98</v>
      </c>
      <c r="K20" s="601" t="s">
        <v>61</v>
      </c>
      <c r="L20" s="602">
        <f t="shared" si="0"/>
        <v>0</v>
      </c>
      <c r="M20" s="600"/>
      <c r="N20" s="603">
        <f t="shared" si="1"/>
        <v>0</v>
      </c>
      <c r="O20" s="495"/>
    </row>
    <row r="21" spans="2:17" ht="14.25" hidden="1" customHeight="1">
      <c r="B21" s="596" t="s">
        <v>45</v>
      </c>
      <c r="C21" s="605"/>
      <c r="D21" s="605"/>
      <c r="E21" s="555"/>
      <c r="F21" s="555"/>
      <c r="G21" s="597"/>
      <c r="H21" s="604"/>
      <c r="I21" s="599"/>
      <c r="J21" s="600"/>
      <c r="K21" s="601"/>
      <c r="L21" s="602" t="str">
        <f t="shared" si="0"/>
        <v>-</v>
      </c>
      <c r="M21" s="601"/>
      <c r="N21" s="603"/>
      <c r="O21" s="495"/>
    </row>
    <row r="22" spans="2:17" ht="14.25" hidden="1" customHeight="1">
      <c r="B22" s="596" t="s">
        <v>185</v>
      </c>
      <c r="C22" s="605"/>
      <c r="D22" s="605"/>
      <c r="E22" s="555"/>
      <c r="F22" s="555"/>
      <c r="G22" s="597"/>
      <c r="H22" s="604"/>
      <c r="I22" s="599"/>
      <c r="J22" s="600"/>
      <c r="K22" s="601"/>
      <c r="L22" s="602" t="str">
        <f t="shared" si="0"/>
        <v>-</v>
      </c>
      <c r="M22" s="601"/>
      <c r="N22" s="603"/>
      <c r="O22" s="495"/>
    </row>
    <row r="23" spans="2:17" ht="14.25" hidden="1" customHeight="1">
      <c r="B23" s="596" t="s">
        <v>186</v>
      </c>
      <c r="C23" s="605"/>
      <c r="D23" s="605"/>
      <c r="E23" s="555"/>
      <c r="F23" s="555" t="s">
        <v>192</v>
      </c>
      <c r="G23" s="597"/>
      <c r="H23" s="604"/>
      <c r="I23" s="599"/>
      <c r="J23" s="600"/>
      <c r="K23" s="601"/>
      <c r="L23" s="602" t="str">
        <f t="shared" si="0"/>
        <v>-</v>
      </c>
      <c r="M23" s="601"/>
      <c r="N23" s="603"/>
      <c r="O23" s="495"/>
    </row>
    <row r="24" spans="2:17" ht="14.25" hidden="1" customHeight="1">
      <c r="B24" s="596" t="s">
        <v>190</v>
      </c>
      <c r="C24" s="605"/>
      <c r="D24" s="605"/>
      <c r="E24" s="555"/>
      <c r="F24" s="555"/>
      <c r="G24" s="597"/>
      <c r="H24" s="604"/>
      <c r="I24" s="599"/>
      <c r="J24" s="600"/>
      <c r="K24" s="601"/>
      <c r="L24" s="602" t="str">
        <f t="shared" si="0"/>
        <v>-</v>
      </c>
      <c r="M24" s="601"/>
      <c r="N24" s="603"/>
      <c r="O24" s="495"/>
    </row>
    <row r="25" spans="2:17" ht="14.25" hidden="1" customHeight="1">
      <c r="B25" s="596" t="s">
        <v>191</v>
      </c>
      <c r="C25" s="605"/>
      <c r="D25" s="605"/>
      <c r="E25" s="555"/>
      <c r="F25" s="555"/>
      <c r="G25" s="597"/>
      <c r="H25" s="604"/>
      <c r="I25" s="599"/>
      <c r="J25" s="600"/>
      <c r="K25" s="601"/>
      <c r="L25" s="602" t="str">
        <f t="shared" si="0"/>
        <v>-</v>
      </c>
      <c r="M25" s="601"/>
      <c r="N25" s="603"/>
      <c r="O25" s="495"/>
    </row>
    <row r="26" spans="2:17" ht="14.25" hidden="1" customHeight="1">
      <c r="B26" s="596" t="s">
        <v>729</v>
      </c>
      <c r="C26" s="605" t="s">
        <v>493</v>
      </c>
      <c r="D26" s="605" t="s">
        <v>46</v>
      </c>
      <c r="E26" s="555"/>
      <c r="F26" s="555"/>
      <c r="G26" s="597"/>
      <c r="H26" s="604"/>
      <c r="I26" s="599" t="e">
        <f>H26/$N$3</f>
        <v>#DIV/0!</v>
      </c>
      <c r="J26" s="600"/>
      <c r="K26" s="601" t="s">
        <v>61</v>
      </c>
      <c r="L26" s="602" t="str">
        <f t="shared" si="0"/>
        <v>-</v>
      </c>
      <c r="M26" s="601"/>
      <c r="N26" s="603" t="str">
        <f t="shared" ref="N26:N48" si="2">IFERROR(L26*(1+M26),"-")</f>
        <v>-</v>
      </c>
      <c r="O26" s="495"/>
    </row>
    <row r="27" spans="2:17" ht="14.25" hidden="1" customHeight="1">
      <c r="B27" s="553" t="s">
        <v>741</v>
      </c>
      <c r="C27" s="605" t="s">
        <v>69</v>
      </c>
      <c r="D27" s="605" t="s">
        <v>70</v>
      </c>
      <c r="E27" s="553"/>
      <c r="F27" s="553" t="s">
        <v>166</v>
      </c>
      <c r="G27" s="606">
        <v>10000</v>
      </c>
      <c r="H27" s="607"/>
      <c r="I27" s="599">
        <v>215</v>
      </c>
      <c r="J27" s="608">
        <v>0.96</v>
      </c>
      <c r="K27" s="553" t="s">
        <v>61</v>
      </c>
      <c r="L27" s="602">
        <f t="shared" si="0"/>
        <v>0</v>
      </c>
      <c r="M27" s="609"/>
      <c r="N27" s="603">
        <f t="shared" si="2"/>
        <v>0</v>
      </c>
      <c r="O27" s="495"/>
    </row>
    <row r="28" spans="2:17" ht="18.75" customHeight="1">
      <c r="B28" s="797" t="s">
        <v>725</v>
      </c>
      <c r="C28" s="797" t="s">
        <v>89</v>
      </c>
      <c r="D28" s="797" t="s">
        <v>188</v>
      </c>
      <c r="E28" s="797"/>
      <c r="F28" s="797" t="s">
        <v>1243</v>
      </c>
      <c r="G28" s="798">
        <v>10000</v>
      </c>
      <c r="H28" s="799">
        <v>1304250</v>
      </c>
      <c r="I28" s="800">
        <v>54</v>
      </c>
      <c r="J28" s="801">
        <v>0.96</v>
      </c>
      <c r="K28" s="797" t="s">
        <v>61</v>
      </c>
      <c r="L28" s="802">
        <f t="shared" si="0"/>
        <v>135.85937500000003</v>
      </c>
      <c r="M28" s="803"/>
      <c r="N28" s="804">
        <f>IFERROR(L28*(1+M28),"-")</f>
        <v>135.85937500000003</v>
      </c>
      <c r="O28" s="495"/>
    </row>
    <row r="29" spans="2:17" ht="18.95" customHeight="1">
      <c r="B29" s="797" t="s">
        <v>742</v>
      </c>
      <c r="C29" s="797" t="s">
        <v>79</v>
      </c>
      <c r="D29" s="797" t="s">
        <v>80</v>
      </c>
      <c r="E29" s="797"/>
      <c r="F29" s="797" t="s">
        <v>1243</v>
      </c>
      <c r="G29" s="798">
        <v>10000</v>
      </c>
      <c r="H29" s="805">
        <v>1082250</v>
      </c>
      <c r="I29" s="800">
        <v>44.5</v>
      </c>
      <c r="J29" s="801">
        <v>0.96</v>
      </c>
      <c r="K29" s="797" t="s">
        <v>61</v>
      </c>
      <c r="L29" s="802">
        <f t="shared" si="0"/>
        <v>112.734375</v>
      </c>
      <c r="M29" s="803"/>
      <c r="N29" s="804">
        <f t="shared" si="2"/>
        <v>112.734375</v>
      </c>
      <c r="O29" s="495"/>
    </row>
    <row r="30" spans="2:17" ht="14.25" hidden="1" customHeight="1">
      <c r="B30" s="797" t="s">
        <v>63</v>
      </c>
      <c r="C30" s="797" t="s">
        <v>176</v>
      </c>
      <c r="D30" s="797" t="s">
        <v>760</v>
      </c>
      <c r="E30" s="797"/>
      <c r="F30" s="797" t="s">
        <v>166</v>
      </c>
      <c r="G30" s="798">
        <v>10000</v>
      </c>
      <c r="H30" s="806"/>
      <c r="I30" s="800">
        <v>378</v>
      </c>
      <c r="J30" s="801">
        <v>0.96</v>
      </c>
      <c r="K30" s="797" t="s">
        <v>61</v>
      </c>
      <c r="L30" s="802">
        <f t="shared" si="0"/>
        <v>0</v>
      </c>
      <c r="M30" s="803"/>
      <c r="N30" s="804">
        <f t="shared" si="2"/>
        <v>0</v>
      </c>
      <c r="O30" s="495"/>
    </row>
    <row r="31" spans="2:17" ht="18.95" customHeight="1">
      <c r="B31" s="797" t="s">
        <v>64</v>
      </c>
      <c r="C31" s="797" t="s">
        <v>177</v>
      </c>
      <c r="D31" s="797" t="s">
        <v>788</v>
      </c>
      <c r="E31" s="797"/>
      <c r="F31" s="797" t="s">
        <v>167</v>
      </c>
      <c r="G31" s="798">
        <v>12000</v>
      </c>
      <c r="H31" s="805">
        <v>1370850</v>
      </c>
      <c r="I31" s="800">
        <v>57</v>
      </c>
      <c r="J31" s="801">
        <v>0.96</v>
      </c>
      <c r="K31" s="797" t="s">
        <v>61</v>
      </c>
      <c r="L31" s="802">
        <f t="shared" si="0"/>
        <v>118.99739583333333</v>
      </c>
      <c r="M31" s="803"/>
      <c r="N31" s="804">
        <f t="shared" si="2"/>
        <v>118.99739583333333</v>
      </c>
      <c r="O31" s="495"/>
    </row>
    <row r="32" spans="2:17" ht="14.25" hidden="1" customHeight="1">
      <c r="B32" s="797" t="s">
        <v>648</v>
      </c>
      <c r="C32" s="797" t="s">
        <v>71</v>
      </c>
      <c r="D32" s="797" t="s">
        <v>72</v>
      </c>
      <c r="E32" s="797"/>
      <c r="F32" s="797" t="s">
        <v>167</v>
      </c>
      <c r="G32" s="798">
        <v>12000</v>
      </c>
      <c r="H32" s="806"/>
      <c r="I32" s="800"/>
      <c r="J32" s="801">
        <v>0.96</v>
      </c>
      <c r="K32" s="797" t="s">
        <v>61</v>
      </c>
      <c r="L32" s="802">
        <f t="shared" si="0"/>
        <v>0</v>
      </c>
      <c r="M32" s="803"/>
      <c r="N32" s="804">
        <f t="shared" si="2"/>
        <v>0</v>
      </c>
      <c r="O32" s="495"/>
      <c r="P32" s="2"/>
      <c r="Q32" s="27"/>
    </row>
    <row r="33" spans="2:17" ht="14.25" hidden="1" customHeight="1">
      <c r="B33" s="797" t="s">
        <v>65</v>
      </c>
      <c r="C33" s="797" t="s">
        <v>123</v>
      </c>
      <c r="D33" s="797" t="s">
        <v>164</v>
      </c>
      <c r="E33" s="807"/>
      <c r="F33" s="797" t="s">
        <v>167</v>
      </c>
      <c r="G33" s="798">
        <v>12000</v>
      </c>
      <c r="H33" s="806"/>
      <c r="I33" s="800"/>
      <c r="J33" s="801">
        <v>0.96</v>
      </c>
      <c r="K33" s="797" t="s">
        <v>61</v>
      </c>
      <c r="L33" s="802">
        <f t="shared" si="0"/>
        <v>0</v>
      </c>
      <c r="M33" s="803"/>
      <c r="N33" s="804">
        <f t="shared" si="2"/>
        <v>0</v>
      </c>
      <c r="O33" s="495"/>
      <c r="Q33" s="27"/>
    </row>
    <row r="34" spans="2:17" ht="14.25" hidden="1" customHeight="1">
      <c r="B34" s="797" t="s">
        <v>66</v>
      </c>
      <c r="C34" s="797" t="s">
        <v>77</v>
      </c>
      <c r="D34" s="797" t="s">
        <v>78</v>
      </c>
      <c r="E34" s="797"/>
      <c r="F34" s="797" t="s">
        <v>166</v>
      </c>
      <c r="G34" s="798">
        <v>10000</v>
      </c>
      <c r="H34" s="806"/>
      <c r="I34" s="800"/>
      <c r="J34" s="801">
        <v>0.96</v>
      </c>
      <c r="K34" s="797" t="s">
        <v>61</v>
      </c>
      <c r="L34" s="802">
        <f t="shared" si="0"/>
        <v>0</v>
      </c>
      <c r="M34" s="803"/>
      <c r="N34" s="804">
        <f t="shared" si="2"/>
        <v>0</v>
      </c>
      <c r="O34" s="495"/>
      <c r="Q34" s="27"/>
    </row>
    <row r="35" spans="2:17" ht="14.25" hidden="1" customHeight="1">
      <c r="B35" s="797" t="s">
        <v>640</v>
      </c>
      <c r="C35" s="797" t="s">
        <v>85</v>
      </c>
      <c r="D35" s="797" t="s">
        <v>86</v>
      </c>
      <c r="E35" s="797"/>
      <c r="F35" s="797" t="s">
        <v>166</v>
      </c>
      <c r="G35" s="798">
        <v>10000</v>
      </c>
      <c r="H35" s="806"/>
      <c r="I35" s="800">
        <v>276</v>
      </c>
      <c r="J35" s="801">
        <v>0.96</v>
      </c>
      <c r="K35" s="797" t="s">
        <v>61</v>
      </c>
      <c r="L35" s="802">
        <f t="shared" si="0"/>
        <v>0</v>
      </c>
      <c r="M35" s="803"/>
      <c r="N35" s="804">
        <f t="shared" si="2"/>
        <v>0</v>
      </c>
      <c r="O35" s="495"/>
    </row>
    <row r="36" spans="2:17" ht="18.95" customHeight="1">
      <c r="B36" s="797" t="s">
        <v>664</v>
      </c>
      <c r="C36" s="797" t="s">
        <v>178</v>
      </c>
      <c r="D36" s="797" t="s">
        <v>647</v>
      </c>
      <c r="E36" s="797"/>
      <c r="F36" s="797" t="s">
        <v>167</v>
      </c>
      <c r="G36" s="798">
        <v>12000</v>
      </c>
      <c r="H36" s="799">
        <v>1443000</v>
      </c>
      <c r="I36" s="800">
        <v>60.3</v>
      </c>
      <c r="J36" s="801">
        <v>0.96</v>
      </c>
      <c r="K36" s="797" t="s">
        <v>61</v>
      </c>
      <c r="L36" s="802">
        <f t="shared" si="0"/>
        <v>125.26041666666667</v>
      </c>
      <c r="M36" s="803"/>
      <c r="N36" s="804">
        <f t="shared" si="2"/>
        <v>125.26041666666667</v>
      </c>
      <c r="O36" s="495"/>
    </row>
    <row r="37" spans="2:17" ht="14.25" hidden="1" customHeight="1">
      <c r="B37" s="797" t="s">
        <v>681</v>
      </c>
      <c r="C37" s="797" t="s">
        <v>95</v>
      </c>
      <c r="D37" s="797" t="s">
        <v>96</v>
      </c>
      <c r="E37" s="807"/>
      <c r="F37" s="797" t="s">
        <v>166</v>
      </c>
      <c r="G37" s="798">
        <v>10000</v>
      </c>
      <c r="H37" s="806"/>
      <c r="I37" s="800">
        <v>450</v>
      </c>
      <c r="J37" s="801">
        <v>0.96</v>
      </c>
      <c r="K37" s="797" t="s">
        <v>61</v>
      </c>
      <c r="L37" s="802">
        <f t="shared" si="0"/>
        <v>0</v>
      </c>
      <c r="M37" s="803"/>
      <c r="N37" s="804">
        <f t="shared" si="2"/>
        <v>0</v>
      </c>
      <c r="O37" s="495"/>
    </row>
    <row r="38" spans="2:17" ht="14.25" hidden="1" customHeight="1">
      <c r="B38" s="797" t="s">
        <v>67</v>
      </c>
      <c r="C38" s="797" t="s">
        <v>73</v>
      </c>
      <c r="D38" s="797" t="s">
        <v>74</v>
      </c>
      <c r="E38" s="797"/>
      <c r="F38" s="797" t="s">
        <v>166</v>
      </c>
      <c r="G38" s="798">
        <v>10000</v>
      </c>
      <c r="H38" s="806"/>
      <c r="I38" s="800"/>
      <c r="J38" s="801">
        <v>0.96</v>
      </c>
      <c r="K38" s="797" t="s">
        <v>61</v>
      </c>
      <c r="L38" s="802">
        <f t="shared" si="0"/>
        <v>0</v>
      </c>
      <c r="M38" s="803"/>
      <c r="N38" s="804">
        <f t="shared" si="2"/>
        <v>0</v>
      </c>
      <c r="O38" s="495"/>
    </row>
    <row r="39" spans="2:17" ht="14.25" hidden="1" customHeight="1">
      <c r="B39" s="797" t="s">
        <v>68</v>
      </c>
      <c r="C39" s="797" t="s">
        <v>187</v>
      </c>
      <c r="D39" s="797" t="s">
        <v>791</v>
      </c>
      <c r="E39" s="797"/>
      <c r="F39" s="797" t="s">
        <v>167</v>
      </c>
      <c r="G39" s="798">
        <v>12000</v>
      </c>
      <c r="H39" s="806"/>
      <c r="I39" s="800"/>
      <c r="J39" s="801">
        <v>0.96</v>
      </c>
      <c r="K39" s="797" t="s">
        <v>61</v>
      </c>
      <c r="L39" s="802">
        <f t="shared" si="0"/>
        <v>0</v>
      </c>
      <c r="M39" s="803"/>
      <c r="N39" s="804">
        <f t="shared" si="2"/>
        <v>0</v>
      </c>
      <c r="O39" s="495"/>
    </row>
    <row r="40" spans="2:17" ht="14.25" hidden="1" customHeight="1">
      <c r="B40" s="797" t="s">
        <v>124</v>
      </c>
      <c r="C40" s="797" t="s">
        <v>886</v>
      </c>
      <c r="D40" s="797" t="s">
        <v>887</v>
      </c>
      <c r="E40" s="797"/>
      <c r="F40" s="797" t="s">
        <v>888</v>
      </c>
      <c r="G40" s="798">
        <v>10000</v>
      </c>
      <c r="H40" s="806"/>
      <c r="I40" s="800">
        <v>256</v>
      </c>
      <c r="J40" s="801">
        <v>0.96</v>
      </c>
      <c r="K40" s="797" t="s">
        <v>61</v>
      </c>
      <c r="L40" s="802">
        <f t="shared" si="0"/>
        <v>0</v>
      </c>
      <c r="M40" s="803"/>
      <c r="N40" s="804">
        <f t="shared" si="2"/>
        <v>0</v>
      </c>
      <c r="O40" s="495"/>
    </row>
    <row r="41" spans="2:17" ht="14.25" hidden="1" customHeight="1">
      <c r="B41" s="797" t="s">
        <v>125</v>
      </c>
      <c r="C41" s="797" t="s">
        <v>893</v>
      </c>
      <c r="D41" s="797" t="s">
        <v>894</v>
      </c>
      <c r="E41" s="797"/>
      <c r="F41" s="797" t="s">
        <v>895</v>
      </c>
      <c r="G41" s="798">
        <v>10000</v>
      </c>
      <c r="H41" s="806"/>
      <c r="I41" s="800">
        <v>367</v>
      </c>
      <c r="J41" s="801">
        <v>0.96</v>
      </c>
      <c r="K41" s="797" t="s">
        <v>61</v>
      </c>
      <c r="L41" s="802">
        <f t="shared" si="0"/>
        <v>0</v>
      </c>
      <c r="M41" s="803"/>
      <c r="N41" s="804">
        <f t="shared" si="2"/>
        <v>0</v>
      </c>
      <c r="O41" s="495"/>
    </row>
    <row r="42" spans="2:17" ht="14.25" hidden="1" customHeight="1">
      <c r="B42" s="797" t="s">
        <v>126</v>
      </c>
      <c r="C42" s="807"/>
      <c r="D42" s="797"/>
      <c r="E42" s="807"/>
      <c r="F42" s="807"/>
      <c r="G42" s="807"/>
      <c r="H42" s="808"/>
      <c r="I42" s="800" t="e">
        <f>H42/$N$3</f>
        <v>#DIV/0!</v>
      </c>
      <c r="J42" s="801">
        <v>0.96</v>
      </c>
      <c r="K42" s="797" t="s">
        <v>61</v>
      </c>
      <c r="L42" s="802" t="str">
        <f t="shared" si="0"/>
        <v>-</v>
      </c>
      <c r="M42" s="807"/>
      <c r="N42" s="804" t="str">
        <f t="shared" si="2"/>
        <v>-</v>
      </c>
      <c r="O42" s="495"/>
    </row>
    <row r="43" spans="2:17" ht="14.25" hidden="1" customHeight="1">
      <c r="B43" s="797" t="s">
        <v>127</v>
      </c>
      <c r="C43" s="797"/>
      <c r="D43" s="797"/>
      <c r="E43" s="797"/>
      <c r="F43" s="797"/>
      <c r="G43" s="798"/>
      <c r="H43" s="806"/>
      <c r="I43" s="800" t="e">
        <f>H43/$N$3</f>
        <v>#DIV/0!</v>
      </c>
      <c r="J43" s="801">
        <v>0.96</v>
      </c>
      <c r="K43" s="797" t="s">
        <v>61</v>
      </c>
      <c r="L43" s="802" t="str">
        <f t="shared" si="0"/>
        <v>-</v>
      </c>
      <c r="M43" s="803"/>
      <c r="N43" s="804" t="str">
        <f t="shared" si="2"/>
        <v>-</v>
      </c>
      <c r="O43" s="495"/>
    </row>
    <row r="44" spans="2:17" ht="14.25" hidden="1" customHeight="1">
      <c r="B44" s="797" t="s">
        <v>128</v>
      </c>
      <c r="C44" s="797" t="s">
        <v>889</v>
      </c>
      <c r="D44" s="797" t="s">
        <v>890</v>
      </c>
      <c r="E44" s="797"/>
      <c r="F44" s="797" t="s">
        <v>891</v>
      </c>
      <c r="G44" s="798">
        <v>30</v>
      </c>
      <c r="H44" s="806"/>
      <c r="I44" s="800">
        <f t="shared" ref="I44:I49" si="3">H44/$I$3</f>
        <v>0</v>
      </c>
      <c r="J44" s="801">
        <v>0.96</v>
      </c>
      <c r="K44" s="797" t="s">
        <v>892</v>
      </c>
      <c r="L44" s="802">
        <f t="shared" si="0"/>
        <v>0</v>
      </c>
      <c r="M44" s="803"/>
      <c r="N44" s="804">
        <f t="shared" si="2"/>
        <v>0</v>
      </c>
      <c r="O44" s="495"/>
    </row>
    <row r="45" spans="2:17" ht="18.95" customHeight="1">
      <c r="B45" s="797" t="s">
        <v>649</v>
      </c>
      <c r="C45" s="797" t="s">
        <v>87</v>
      </c>
      <c r="D45" s="797" t="s">
        <v>88</v>
      </c>
      <c r="E45" s="797"/>
      <c r="F45" s="797" t="s">
        <v>987</v>
      </c>
      <c r="G45" s="798">
        <v>10000</v>
      </c>
      <c r="H45" s="799">
        <v>156400</v>
      </c>
      <c r="I45" s="800">
        <f t="shared" si="3"/>
        <v>9.5716034271725832</v>
      </c>
      <c r="J45" s="801">
        <v>0.96</v>
      </c>
      <c r="K45" s="797" t="s">
        <v>61</v>
      </c>
      <c r="L45" s="802">
        <f t="shared" si="0"/>
        <v>16.291666666666668</v>
      </c>
      <c r="M45" s="803"/>
      <c r="N45" s="804">
        <f t="shared" si="2"/>
        <v>16.291666666666668</v>
      </c>
      <c r="O45" s="495"/>
    </row>
    <row r="46" spans="2:17" ht="18.95" customHeight="1">
      <c r="B46" s="797" t="s">
        <v>133</v>
      </c>
      <c r="C46" s="797" t="s">
        <v>97</v>
      </c>
      <c r="D46" s="797" t="s">
        <v>98</v>
      </c>
      <c r="E46" s="807"/>
      <c r="F46" s="797" t="s">
        <v>1244</v>
      </c>
      <c r="G46" s="798">
        <v>770</v>
      </c>
      <c r="H46" s="799">
        <v>54501</v>
      </c>
      <c r="I46" s="800">
        <f t="shared" si="3"/>
        <v>3.3354345165238679</v>
      </c>
      <c r="J46" s="801">
        <v>0.99</v>
      </c>
      <c r="K46" s="797" t="s">
        <v>61</v>
      </c>
      <c r="L46" s="802">
        <f t="shared" si="0"/>
        <v>71.495474222746964</v>
      </c>
      <c r="M46" s="803"/>
      <c r="N46" s="804">
        <f t="shared" si="2"/>
        <v>71.495474222746964</v>
      </c>
      <c r="O46" s="495"/>
    </row>
    <row r="47" spans="2:17" ht="18.95" customHeight="1">
      <c r="B47" s="797" t="s">
        <v>733</v>
      </c>
      <c r="C47" s="797" t="s">
        <v>99</v>
      </c>
      <c r="D47" s="797" t="s">
        <v>100</v>
      </c>
      <c r="E47" s="807"/>
      <c r="F47" s="809" t="s">
        <v>1294</v>
      </c>
      <c r="G47" s="810">
        <v>28000</v>
      </c>
      <c r="H47" s="811">
        <v>71793.960000000006</v>
      </c>
      <c r="I47" s="800">
        <f t="shared" si="3"/>
        <v>4.3937552019583848</v>
      </c>
      <c r="J47" s="801">
        <v>0.99</v>
      </c>
      <c r="K47" s="797" t="s">
        <v>61</v>
      </c>
      <c r="L47" s="802">
        <f t="shared" si="0"/>
        <v>2.589969696969697</v>
      </c>
      <c r="M47" s="803"/>
      <c r="N47" s="804">
        <f t="shared" si="2"/>
        <v>2.589969696969697</v>
      </c>
      <c r="O47" s="495" t="s">
        <v>1245</v>
      </c>
    </row>
    <row r="48" spans="2:17" ht="18.95" customHeight="1">
      <c r="B48" s="797" t="s">
        <v>134</v>
      </c>
      <c r="C48" s="797" t="s">
        <v>885</v>
      </c>
      <c r="D48" s="797" t="s">
        <v>143</v>
      </c>
      <c r="E48" s="807"/>
      <c r="F48" s="809" t="s">
        <v>994</v>
      </c>
      <c r="G48" s="810">
        <v>1000</v>
      </c>
      <c r="H48" s="811">
        <v>79549.8</v>
      </c>
      <c r="I48" s="800">
        <f t="shared" si="3"/>
        <v>4.8684088127294984</v>
      </c>
      <c r="J48" s="801">
        <v>0.99</v>
      </c>
      <c r="K48" s="797" t="s">
        <v>61</v>
      </c>
      <c r="L48" s="802">
        <f t="shared" si="0"/>
        <v>80.353333333333339</v>
      </c>
      <c r="M48" s="803"/>
      <c r="N48" s="804">
        <f t="shared" si="2"/>
        <v>80.353333333333339</v>
      </c>
      <c r="O48" s="495"/>
    </row>
    <row r="49" spans="2:19" ht="18.95" customHeight="1">
      <c r="B49" s="797" t="s">
        <v>139</v>
      </c>
      <c r="C49" s="797" t="s">
        <v>943</v>
      </c>
      <c r="D49" s="797" t="s">
        <v>1771</v>
      </c>
      <c r="E49" s="807"/>
      <c r="F49" s="797" t="s">
        <v>1157</v>
      </c>
      <c r="G49" s="798">
        <v>3000</v>
      </c>
      <c r="H49" s="799">
        <v>144999.9</v>
      </c>
      <c r="I49" s="800">
        <f t="shared" si="3"/>
        <v>8.8739228886168906</v>
      </c>
      <c r="J49" s="801">
        <v>0.99</v>
      </c>
      <c r="K49" s="797" t="s">
        <v>922</v>
      </c>
      <c r="L49" s="802">
        <f t="shared" si="0"/>
        <v>48.82151515151515</v>
      </c>
      <c r="M49" s="803"/>
      <c r="N49" s="804">
        <f t="shared" ref="N49:N60" si="4">IFERROR(L49*(1+M49),"-")</f>
        <v>48.82151515151515</v>
      </c>
      <c r="O49" s="495"/>
    </row>
    <row r="50" spans="2:19" ht="18.95" customHeight="1">
      <c r="B50" s="797" t="s">
        <v>989</v>
      </c>
      <c r="C50" s="797" t="s">
        <v>990</v>
      </c>
      <c r="D50" s="797" t="s">
        <v>991</v>
      </c>
      <c r="E50" s="807"/>
      <c r="F50" s="797" t="s">
        <v>1264</v>
      </c>
      <c r="G50" s="798">
        <v>2000</v>
      </c>
      <c r="H50" s="799">
        <v>122100</v>
      </c>
      <c r="I50" s="800">
        <f>H50/I3</f>
        <v>7.4724602203182373</v>
      </c>
      <c r="J50" s="801">
        <v>0.99</v>
      </c>
      <c r="K50" s="797" t="s">
        <v>61</v>
      </c>
      <c r="L50" s="802">
        <f t="shared" ref="L50:L68" si="5">IFERROR(H50/G50/J50,"-")</f>
        <v>61.666666666666664</v>
      </c>
      <c r="M50" s="803"/>
      <c r="N50" s="804">
        <f t="shared" si="4"/>
        <v>61.666666666666664</v>
      </c>
      <c r="O50" s="495"/>
    </row>
    <row r="51" spans="2:19" ht="18.95" customHeight="1">
      <c r="B51" s="797" t="s">
        <v>1767</v>
      </c>
      <c r="C51" s="797"/>
      <c r="D51" s="797" t="s">
        <v>1768</v>
      </c>
      <c r="E51" s="807"/>
      <c r="F51" s="797" t="s">
        <v>869</v>
      </c>
      <c r="G51" s="798">
        <v>500</v>
      </c>
      <c r="H51" s="799" ph="1">
        <v>36741</v>
      </c>
      <c r="I51" s="800"/>
      <c r="J51" s="801">
        <v>1</v>
      </c>
      <c r="K51" s="797" t="s">
        <v>61</v>
      </c>
      <c r="L51" s="802">
        <f t="shared" si="5"/>
        <v>73.481999999999999</v>
      </c>
      <c r="M51" s="803"/>
      <c r="N51" s="804">
        <f t="shared" si="4"/>
        <v>73.481999999999999</v>
      </c>
      <c r="O51" s="495"/>
    </row>
    <row r="52" spans="2:19" ht="18.95" customHeight="1">
      <c r="B52" s="797" t="s">
        <v>2097</v>
      </c>
      <c r="C52" s="797"/>
      <c r="D52" s="797" t="s">
        <v>2098</v>
      </c>
      <c r="E52" s="807"/>
      <c r="F52" s="797" t="s">
        <v>1243</v>
      </c>
      <c r="G52" s="798">
        <v>10000</v>
      </c>
      <c r="H52" s="799">
        <v>1278225</v>
      </c>
      <c r="I52" s="800"/>
      <c r="J52" s="801">
        <v>0.99</v>
      </c>
      <c r="K52" s="797" t="s">
        <v>61</v>
      </c>
      <c r="L52" s="802">
        <f t="shared" si="5"/>
        <v>129.11363636363637</v>
      </c>
      <c r="M52" s="803"/>
      <c r="N52" s="804">
        <f t="shared" si="4"/>
        <v>129.11363636363637</v>
      </c>
      <c r="O52" s="495"/>
    </row>
    <row r="53" spans="2:19" ht="18.95" customHeight="1">
      <c r="B53" s="797" t="s">
        <v>2099</v>
      </c>
      <c r="C53" s="797"/>
      <c r="D53" s="797" t="s">
        <v>2100</v>
      </c>
      <c r="E53" s="807"/>
      <c r="F53" s="797" t="s">
        <v>2114</v>
      </c>
      <c r="G53" s="798">
        <v>950</v>
      </c>
      <c r="H53" s="799">
        <v>133657.88</v>
      </c>
      <c r="I53" s="800"/>
      <c r="J53" s="801">
        <v>1</v>
      </c>
      <c r="K53" s="797" t="s">
        <v>61</v>
      </c>
      <c r="L53" s="802">
        <f t="shared" si="5"/>
        <v>140.6925052631579</v>
      </c>
      <c r="M53" s="803"/>
      <c r="N53" s="804">
        <f t="shared" si="4"/>
        <v>140.6925052631579</v>
      </c>
      <c r="O53" s="495"/>
    </row>
    <row r="54" spans="2:19" ht="18.95" customHeight="1">
      <c r="B54" s="797" t="s">
        <v>2103</v>
      </c>
      <c r="C54" s="797"/>
      <c r="D54" s="797" t="s">
        <v>2104</v>
      </c>
      <c r="E54" s="807"/>
      <c r="F54" s="809" t="s">
        <v>994</v>
      </c>
      <c r="G54" s="798">
        <v>1000</v>
      </c>
      <c r="H54" s="799">
        <v>57850</v>
      </c>
      <c r="I54" s="800"/>
      <c r="J54" s="801">
        <v>1</v>
      </c>
      <c r="K54" s="797" t="s">
        <v>61</v>
      </c>
      <c r="L54" s="802">
        <f t="shared" si="5"/>
        <v>57.85</v>
      </c>
      <c r="M54" s="803"/>
      <c r="N54" s="804">
        <f t="shared" si="4"/>
        <v>57.85</v>
      </c>
      <c r="O54" s="495"/>
    </row>
    <row r="55" spans="2:19" ht="18.95" customHeight="1">
      <c r="B55" s="797" t="s">
        <v>2105</v>
      </c>
      <c r="C55" s="797"/>
      <c r="D55" s="797" t="s">
        <v>2106</v>
      </c>
      <c r="E55" s="807"/>
      <c r="F55" s="797" t="s">
        <v>2115</v>
      </c>
      <c r="G55" s="798">
        <v>500</v>
      </c>
      <c r="H55" s="799">
        <v>38850</v>
      </c>
      <c r="I55" s="800"/>
      <c r="J55" s="801">
        <v>1</v>
      </c>
      <c r="K55" s="797" t="s">
        <v>61</v>
      </c>
      <c r="L55" s="802">
        <f t="shared" si="5"/>
        <v>77.7</v>
      </c>
      <c r="M55" s="803"/>
      <c r="N55" s="804">
        <f t="shared" si="4"/>
        <v>77.7</v>
      </c>
      <c r="O55" s="495"/>
    </row>
    <row r="56" spans="2:19" ht="18.95" customHeight="1">
      <c r="B56" s="557" t="s">
        <v>631</v>
      </c>
      <c r="C56" s="557" t="s">
        <v>1086</v>
      </c>
      <c r="D56" s="557" t="s">
        <v>1296</v>
      </c>
      <c r="E56" s="610"/>
      <c r="F56" s="611" t="s">
        <v>1295</v>
      </c>
      <c r="G56" s="612">
        <v>1250</v>
      </c>
      <c r="H56" s="613">
        <v>42892.78</v>
      </c>
      <c r="I56" s="614">
        <f t="shared" ref="I56:I65" si="6">H56/$I$3</f>
        <v>2.6250171358629131</v>
      </c>
      <c r="J56" s="615">
        <v>1</v>
      </c>
      <c r="K56" s="557" t="s">
        <v>61</v>
      </c>
      <c r="L56" s="616">
        <f t="shared" si="5"/>
        <v>34.314223999999996</v>
      </c>
      <c r="M56" s="617"/>
      <c r="N56" s="618">
        <f t="shared" si="4"/>
        <v>34.314223999999996</v>
      </c>
      <c r="O56" s="198"/>
    </row>
    <row r="57" spans="2:19" ht="14.25" hidden="1" customHeight="1">
      <c r="B57" s="557" t="s">
        <v>736</v>
      </c>
      <c r="C57" s="605" t="s">
        <v>201</v>
      </c>
      <c r="D57" s="557" t="s">
        <v>202</v>
      </c>
      <c r="E57" s="545"/>
      <c r="F57" s="611" t="s">
        <v>993</v>
      </c>
      <c r="G57" s="612">
        <v>1000</v>
      </c>
      <c r="H57" s="613">
        <v>42600</v>
      </c>
      <c r="I57" s="614">
        <f t="shared" si="6"/>
        <v>2.6070991432068542</v>
      </c>
      <c r="J57" s="615">
        <v>0.98</v>
      </c>
      <c r="K57" s="557" t="s">
        <v>61</v>
      </c>
      <c r="L57" s="616">
        <f t="shared" si="5"/>
        <v>43.469387755102041</v>
      </c>
      <c r="M57" s="617"/>
      <c r="N57" s="618">
        <f t="shared" si="4"/>
        <v>43.469387755102041</v>
      </c>
      <c r="O57" s="495"/>
    </row>
    <row r="58" spans="2:19" ht="14.25" hidden="1" customHeight="1">
      <c r="B58" s="557" t="s">
        <v>669</v>
      </c>
      <c r="C58" s="605" t="s">
        <v>203</v>
      </c>
      <c r="D58" s="557" t="s">
        <v>204</v>
      </c>
      <c r="E58" s="545"/>
      <c r="F58" s="611" t="s">
        <v>994</v>
      </c>
      <c r="G58" s="619">
        <v>1000</v>
      </c>
      <c r="H58" s="613">
        <v>48000</v>
      </c>
      <c r="I58" s="614">
        <f t="shared" si="6"/>
        <v>2.9375764993880047</v>
      </c>
      <c r="J58" s="615">
        <v>0.98</v>
      </c>
      <c r="K58" s="557" t="s">
        <v>61</v>
      </c>
      <c r="L58" s="616">
        <f t="shared" si="5"/>
        <v>48.979591836734691</v>
      </c>
      <c r="M58" s="617"/>
      <c r="N58" s="618">
        <f t="shared" si="4"/>
        <v>48.979591836734691</v>
      </c>
      <c r="O58" s="495"/>
    </row>
    <row r="59" spans="2:19" ht="14.25" hidden="1" customHeight="1">
      <c r="B59" s="557" t="s">
        <v>1119</v>
      </c>
      <c r="C59" s="605" t="s">
        <v>1120</v>
      </c>
      <c r="D59" s="557" t="s">
        <v>1121</v>
      </c>
      <c r="E59" s="545"/>
      <c r="F59" s="611" t="s">
        <v>1122</v>
      </c>
      <c r="G59" s="612">
        <v>1000</v>
      </c>
      <c r="H59" s="613"/>
      <c r="I59" s="614">
        <f t="shared" si="6"/>
        <v>0</v>
      </c>
      <c r="J59" s="615">
        <v>1</v>
      </c>
      <c r="K59" s="557" t="s">
        <v>1084</v>
      </c>
      <c r="L59" s="616">
        <f t="shared" si="5"/>
        <v>0</v>
      </c>
      <c r="M59" s="617"/>
      <c r="N59" s="618">
        <f t="shared" si="4"/>
        <v>0</v>
      </c>
      <c r="O59" s="495"/>
      <c r="P59" t="s">
        <v>994</v>
      </c>
      <c r="Q59">
        <v>34950</v>
      </c>
    </row>
    <row r="60" spans="2:19" ht="14.25" hidden="1" customHeight="1">
      <c r="B60" s="557" t="s">
        <v>1126</v>
      </c>
      <c r="C60" s="605" t="s">
        <v>1127</v>
      </c>
      <c r="D60" s="557" t="s">
        <v>1128</v>
      </c>
      <c r="E60" s="545"/>
      <c r="F60" s="611" t="s">
        <v>1160</v>
      </c>
      <c r="G60" s="612">
        <v>470</v>
      </c>
      <c r="H60" s="613">
        <v>41899.89</v>
      </c>
      <c r="I60" s="614">
        <f t="shared" si="6"/>
        <v>2.5642527539779683</v>
      </c>
      <c r="J60" s="615">
        <v>1</v>
      </c>
      <c r="K60" s="557" t="s">
        <v>61</v>
      </c>
      <c r="L60" s="616">
        <f t="shared" si="5"/>
        <v>89.148702127659575</v>
      </c>
      <c r="M60" s="617"/>
      <c r="N60" s="618">
        <f t="shared" si="4"/>
        <v>89.148702127659575</v>
      </c>
      <c r="O60" s="495"/>
      <c r="Q60">
        <f>Q59+Q56</f>
        <v>34950</v>
      </c>
    </row>
    <row r="61" spans="2:19" ht="14.25" hidden="1" customHeight="1">
      <c r="B61" s="557" t="s">
        <v>1254</v>
      </c>
      <c r="C61" s="605" t="s">
        <v>1255</v>
      </c>
      <c r="D61" s="557" t="s">
        <v>1256</v>
      </c>
      <c r="E61" s="610"/>
      <c r="F61" s="611" t="s">
        <v>992</v>
      </c>
      <c r="G61" s="612">
        <v>1300</v>
      </c>
      <c r="H61" s="613">
        <v>43250</v>
      </c>
      <c r="I61" s="614">
        <f t="shared" si="6"/>
        <v>2.6468788249694004</v>
      </c>
      <c r="J61" s="615">
        <v>0.95</v>
      </c>
      <c r="K61" s="557" t="s">
        <v>61</v>
      </c>
      <c r="L61" s="616">
        <f t="shared" si="5"/>
        <v>35.020242914979754</v>
      </c>
      <c r="M61" s="617"/>
      <c r="N61" s="618">
        <f t="shared" ref="N61:N70" si="7">IFERROR(L61*(1+M61),"-")</f>
        <v>35.020242914979754</v>
      </c>
      <c r="O61" s="198"/>
      <c r="P61">
        <v>1000</v>
      </c>
      <c r="Q61">
        <v>35500</v>
      </c>
      <c r="R61">
        <v>1250</v>
      </c>
      <c r="S61">
        <f>(R61*Q61)/P61</f>
        <v>44375</v>
      </c>
    </row>
    <row r="62" spans="2:19" ht="18.95" customHeight="1">
      <c r="B62" s="551" t="s">
        <v>750</v>
      </c>
      <c r="C62" s="551" t="s">
        <v>818</v>
      </c>
      <c r="D62" s="551" t="s">
        <v>234</v>
      </c>
      <c r="E62" s="685"/>
      <c r="F62" s="551" t="s">
        <v>994</v>
      </c>
      <c r="G62" s="790">
        <v>1000</v>
      </c>
      <c r="H62" s="791">
        <v>60416.67</v>
      </c>
      <c r="I62" s="792">
        <f t="shared" si="6"/>
        <v>3.6974706242350059</v>
      </c>
      <c r="J62" s="793">
        <v>1</v>
      </c>
      <c r="K62" s="551" t="s">
        <v>61</v>
      </c>
      <c r="L62" s="794">
        <f t="shared" si="5"/>
        <v>60.416669999999996</v>
      </c>
      <c r="M62" s="795"/>
      <c r="N62" s="796">
        <f t="shared" si="7"/>
        <v>60.416669999999996</v>
      </c>
      <c r="O62" s="495"/>
    </row>
    <row r="63" spans="2:19" ht="18.95" customHeight="1">
      <c r="B63" s="662" t="s">
        <v>680</v>
      </c>
      <c r="C63" s="662" t="s">
        <v>240</v>
      </c>
      <c r="D63" s="662" t="s">
        <v>241</v>
      </c>
      <c r="E63" s="671"/>
      <c r="F63" s="662" t="s">
        <v>1145</v>
      </c>
      <c r="G63" s="663">
        <v>1800</v>
      </c>
      <c r="H63" s="666">
        <v>179487</v>
      </c>
      <c r="I63" s="667">
        <f t="shared" si="6"/>
        <v>10.984516523867809</v>
      </c>
      <c r="J63" s="664">
        <v>0.99</v>
      </c>
      <c r="K63" s="662" t="s">
        <v>61</v>
      </c>
      <c r="L63" s="668">
        <f t="shared" si="5"/>
        <v>100.72222222222223</v>
      </c>
      <c r="M63" s="670"/>
      <c r="N63" s="665">
        <f t="shared" si="7"/>
        <v>100.72222222222223</v>
      </c>
      <c r="O63" s="495"/>
    </row>
    <row r="64" spans="2:19" ht="18.95" customHeight="1">
      <c r="B64" s="662" t="s">
        <v>999</v>
      </c>
      <c r="C64" s="662" t="s">
        <v>1000</v>
      </c>
      <c r="D64" s="662" t="s">
        <v>1001</v>
      </c>
      <c r="E64" s="671"/>
      <c r="F64" s="787" t="s">
        <v>1297</v>
      </c>
      <c r="G64" s="788">
        <v>15000</v>
      </c>
      <c r="H64" s="789">
        <v>379869</v>
      </c>
      <c r="I64" s="667">
        <f t="shared" si="6"/>
        <v>23.24779681762546</v>
      </c>
      <c r="J64" s="664">
        <v>0.99</v>
      </c>
      <c r="K64" s="662" t="s">
        <v>61</v>
      </c>
      <c r="L64" s="668">
        <f t="shared" si="5"/>
        <v>25.580404040404041</v>
      </c>
      <c r="M64" s="670"/>
      <c r="N64" s="665">
        <f>IFERROR(L64*(1+M64),"-")</f>
        <v>25.580404040404041</v>
      </c>
      <c r="O64" s="495"/>
    </row>
    <row r="65" spans="2:15" ht="18.95" customHeight="1">
      <c r="B65" s="775" t="s">
        <v>672</v>
      </c>
      <c r="C65" s="776" t="s">
        <v>284</v>
      </c>
      <c r="D65" s="776" t="s">
        <v>293</v>
      </c>
      <c r="E65" s="777"/>
      <c r="F65" s="776" t="s">
        <v>994</v>
      </c>
      <c r="G65" s="778">
        <v>1000</v>
      </c>
      <c r="H65" s="779">
        <f>1000*26.32</f>
        <v>26320</v>
      </c>
      <c r="I65" s="780">
        <f t="shared" si="6"/>
        <v>1.6107711138310894</v>
      </c>
      <c r="J65" s="781">
        <v>0.95</v>
      </c>
      <c r="K65" s="776" t="s">
        <v>61</v>
      </c>
      <c r="L65" s="782">
        <f t="shared" si="5"/>
        <v>27.705263157894738</v>
      </c>
      <c r="M65" s="783"/>
      <c r="N65" s="784">
        <f t="shared" si="7"/>
        <v>27.705263157894738</v>
      </c>
      <c r="O65" s="495"/>
    </row>
    <row r="66" spans="2:15" ht="18.95" customHeight="1">
      <c r="B66" s="775" t="s">
        <v>253</v>
      </c>
      <c r="C66" s="776" t="s">
        <v>285</v>
      </c>
      <c r="D66" s="776" t="s">
        <v>294</v>
      </c>
      <c r="E66" s="777"/>
      <c r="F66" s="776" t="s">
        <v>994</v>
      </c>
      <c r="G66" s="778">
        <v>1000</v>
      </c>
      <c r="H66" s="779">
        <v>11000</v>
      </c>
      <c r="I66" s="780">
        <f t="shared" ref="I66:I80" si="8">H66/$I$3</f>
        <v>0.67319461444308448</v>
      </c>
      <c r="J66" s="781">
        <v>0.95</v>
      </c>
      <c r="K66" s="776" t="s">
        <v>61</v>
      </c>
      <c r="L66" s="782">
        <f t="shared" si="5"/>
        <v>11.578947368421053</v>
      </c>
      <c r="M66" s="783"/>
      <c r="N66" s="784">
        <f t="shared" si="7"/>
        <v>11.578947368421053</v>
      </c>
      <c r="O66" s="495"/>
    </row>
    <row r="67" spans="2:15" ht="18.95" customHeight="1">
      <c r="B67" s="775" t="s">
        <v>254</v>
      </c>
      <c r="C67" s="776" t="s">
        <v>286</v>
      </c>
      <c r="D67" s="776" t="s">
        <v>295</v>
      </c>
      <c r="E67" s="777"/>
      <c r="F67" s="776" t="s">
        <v>994</v>
      </c>
      <c r="G67" s="778">
        <v>1000</v>
      </c>
      <c r="H67" s="779">
        <v>13000</v>
      </c>
      <c r="I67" s="780">
        <f t="shared" si="8"/>
        <v>0.79559363525091797</v>
      </c>
      <c r="J67" s="781">
        <v>0.95</v>
      </c>
      <c r="K67" s="776" t="s">
        <v>61</v>
      </c>
      <c r="L67" s="782">
        <f t="shared" si="5"/>
        <v>13.684210526315789</v>
      </c>
      <c r="M67" s="783"/>
      <c r="N67" s="784">
        <f t="shared" si="7"/>
        <v>13.684210526315789</v>
      </c>
      <c r="O67" s="495"/>
    </row>
    <row r="68" spans="2:15" ht="18.95" customHeight="1">
      <c r="B68" s="775" t="s">
        <v>670</v>
      </c>
      <c r="C68" s="776" t="s">
        <v>287</v>
      </c>
      <c r="D68" s="776" t="s">
        <v>296</v>
      </c>
      <c r="E68" s="777"/>
      <c r="F68" s="776" t="s">
        <v>994</v>
      </c>
      <c r="G68" s="778">
        <v>1000</v>
      </c>
      <c r="H68" s="779">
        <f>31.05*1000</f>
        <v>31050</v>
      </c>
      <c r="I68" s="780">
        <f t="shared" si="8"/>
        <v>1.9002447980416157</v>
      </c>
      <c r="J68" s="781">
        <v>0.97</v>
      </c>
      <c r="K68" s="776" t="s">
        <v>61</v>
      </c>
      <c r="L68" s="782">
        <f t="shared" si="5"/>
        <v>32.010309278350519</v>
      </c>
      <c r="M68" s="783"/>
      <c r="N68" s="784">
        <f t="shared" si="7"/>
        <v>32.010309278350519</v>
      </c>
      <c r="O68" s="495"/>
    </row>
    <row r="69" spans="2:15" ht="18.95" customHeight="1">
      <c r="B69" s="775" t="s">
        <v>673</v>
      </c>
      <c r="C69" s="776" t="s">
        <v>289</v>
      </c>
      <c r="D69" s="776" t="s">
        <v>297</v>
      </c>
      <c r="E69" s="777"/>
      <c r="F69" s="776" t="s">
        <v>994</v>
      </c>
      <c r="G69" s="778">
        <v>1000</v>
      </c>
      <c r="H69" s="779">
        <v>14500</v>
      </c>
      <c r="I69" s="780">
        <f t="shared" si="8"/>
        <v>0.88739290085679312</v>
      </c>
      <c r="J69" s="781">
        <v>2</v>
      </c>
      <c r="K69" s="776" t="s">
        <v>61</v>
      </c>
      <c r="L69" s="782">
        <f t="shared" ref="L69:L81" si="9">IFERROR(H69/G69/J69,"-")</f>
        <v>7.25</v>
      </c>
      <c r="M69" s="783"/>
      <c r="N69" s="784">
        <f t="shared" si="7"/>
        <v>7.25</v>
      </c>
      <c r="O69" s="495"/>
    </row>
    <row r="70" spans="2:15" ht="18.95" customHeight="1">
      <c r="B70" s="775" t="s">
        <v>688</v>
      </c>
      <c r="C70" s="776" t="s">
        <v>290</v>
      </c>
      <c r="D70" s="776" t="s">
        <v>298</v>
      </c>
      <c r="E70" s="777"/>
      <c r="F70" s="776" t="s">
        <v>994</v>
      </c>
      <c r="G70" s="778">
        <v>1000</v>
      </c>
      <c r="H70" s="779">
        <f>20.53*1000</f>
        <v>20530</v>
      </c>
      <c r="I70" s="780">
        <f t="shared" si="8"/>
        <v>1.2564259485924112</v>
      </c>
      <c r="J70" s="781">
        <v>0.95</v>
      </c>
      <c r="K70" s="776" t="s">
        <v>61</v>
      </c>
      <c r="L70" s="782">
        <f t="shared" si="9"/>
        <v>21.610526315789475</v>
      </c>
      <c r="M70" s="783"/>
      <c r="N70" s="784">
        <f t="shared" si="7"/>
        <v>21.610526315789475</v>
      </c>
      <c r="O70" s="495"/>
    </row>
    <row r="71" spans="2:15" ht="18.95" customHeight="1">
      <c r="B71" s="775" t="s">
        <v>267</v>
      </c>
      <c r="C71" s="776" t="s">
        <v>1139</v>
      </c>
      <c r="D71" s="776" t="s">
        <v>1140</v>
      </c>
      <c r="E71" s="777"/>
      <c r="F71" s="776" t="s">
        <v>994</v>
      </c>
      <c r="G71" s="778">
        <v>1000</v>
      </c>
      <c r="H71" s="779">
        <f>105.03*1000</f>
        <v>105030</v>
      </c>
      <c r="I71" s="780">
        <f t="shared" si="8"/>
        <v>6.4277845777233784</v>
      </c>
      <c r="J71" s="781">
        <v>0.95</v>
      </c>
      <c r="K71" s="776" t="s">
        <v>61</v>
      </c>
      <c r="L71" s="782">
        <f t="shared" si="9"/>
        <v>110.55789473684212</v>
      </c>
      <c r="M71" s="783"/>
      <c r="N71" s="784">
        <f t="shared" ref="N71:N93" si="10">IFERROR(L71*(1+M71),"-")</f>
        <v>110.55789473684212</v>
      </c>
      <c r="O71" s="495"/>
    </row>
    <row r="72" spans="2:15" ht="18.95" customHeight="1">
      <c r="B72" s="775" t="s">
        <v>689</v>
      </c>
      <c r="C72" s="776" t="s">
        <v>337</v>
      </c>
      <c r="D72" s="776" t="s">
        <v>352</v>
      </c>
      <c r="E72" s="777"/>
      <c r="F72" s="776" t="s">
        <v>993</v>
      </c>
      <c r="G72" s="778">
        <v>1000</v>
      </c>
      <c r="H72" s="779">
        <v>11500</v>
      </c>
      <c r="I72" s="780">
        <f t="shared" si="8"/>
        <v>0.70379436964504283</v>
      </c>
      <c r="J72" s="781">
        <v>0.95</v>
      </c>
      <c r="K72" s="776" t="s">
        <v>61</v>
      </c>
      <c r="L72" s="782">
        <f t="shared" si="9"/>
        <v>12.105263157894738</v>
      </c>
      <c r="M72" s="783"/>
      <c r="N72" s="784">
        <f t="shared" si="10"/>
        <v>12.105263157894738</v>
      </c>
      <c r="O72" s="495"/>
    </row>
    <row r="73" spans="2:15" ht="18.95" customHeight="1">
      <c r="B73" s="775" t="s">
        <v>694</v>
      </c>
      <c r="C73" s="776" t="s">
        <v>339</v>
      </c>
      <c r="D73" s="776" t="s">
        <v>354</v>
      </c>
      <c r="E73" s="777"/>
      <c r="F73" s="776" t="s">
        <v>993</v>
      </c>
      <c r="G73" s="778">
        <v>1000</v>
      </c>
      <c r="H73" s="779">
        <v>14500</v>
      </c>
      <c r="I73" s="780">
        <f t="shared" si="8"/>
        <v>0.88739290085679312</v>
      </c>
      <c r="J73" s="781">
        <v>0.95</v>
      </c>
      <c r="K73" s="776" t="s">
        <v>61</v>
      </c>
      <c r="L73" s="782">
        <f t="shared" si="9"/>
        <v>15.263157894736842</v>
      </c>
      <c r="M73" s="783"/>
      <c r="N73" s="784">
        <f t="shared" si="10"/>
        <v>15.263157894736842</v>
      </c>
      <c r="O73" s="495"/>
    </row>
    <row r="74" spans="2:15" ht="18.95" customHeight="1">
      <c r="B74" s="775" t="s">
        <v>276</v>
      </c>
      <c r="C74" s="776" t="s">
        <v>341</v>
      </c>
      <c r="D74" s="776" t="s">
        <v>356</v>
      </c>
      <c r="E74" s="777"/>
      <c r="F74" s="776" t="s">
        <v>993</v>
      </c>
      <c r="G74" s="778">
        <v>1000</v>
      </c>
      <c r="H74" s="779">
        <v>58000</v>
      </c>
      <c r="I74" s="780">
        <f t="shared" si="8"/>
        <v>3.5495716034271725</v>
      </c>
      <c r="J74" s="781">
        <v>0.95</v>
      </c>
      <c r="K74" s="776" t="s">
        <v>61</v>
      </c>
      <c r="L74" s="782">
        <f t="shared" si="9"/>
        <v>61.05263157894737</v>
      </c>
      <c r="M74" s="783"/>
      <c r="N74" s="784">
        <f t="shared" si="10"/>
        <v>61.05263157894737</v>
      </c>
      <c r="O74" s="495"/>
    </row>
    <row r="75" spans="2:15" ht="18.95" customHeight="1">
      <c r="B75" s="775" t="s">
        <v>740</v>
      </c>
      <c r="C75" s="776" t="s">
        <v>347</v>
      </c>
      <c r="D75" s="776" t="s">
        <v>362</v>
      </c>
      <c r="E75" s="777"/>
      <c r="F75" s="776" t="s">
        <v>1156</v>
      </c>
      <c r="G75" s="778">
        <v>420</v>
      </c>
      <c r="H75" s="779">
        <v>19900</v>
      </c>
      <c r="I75" s="780">
        <f t="shared" si="8"/>
        <v>1.2178702570379436</v>
      </c>
      <c r="J75" s="781">
        <v>0.99</v>
      </c>
      <c r="K75" s="776" t="s">
        <v>61</v>
      </c>
      <c r="L75" s="782">
        <f t="shared" si="9"/>
        <v>47.85954785954786</v>
      </c>
      <c r="M75" s="783"/>
      <c r="N75" s="784">
        <f t="shared" si="10"/>
        <v>47.85954785954786</v>
      </c>
      <c r="O75" s="495"/>
    </row>
    <row r="76" spans="2:15" ht="18.75" customHeight="1">
      <c r="B76" s="775" t="s">
        <v>804</v>
      </c>
      <c r="C76" s="776" t="s">
        <v>805</v>
      </c>
      <c r="D76" s="776" t="s">
        <v>806</v>
      </c>
      <c r="E76" s="777"/>
      <c r="F76" s="785" t="s">
        <v>994</v>
      </c>
      <c r="G76" s="786">
        <v>1000</v>
      </c>
      <c r="H76" s="779">
        <v>35000</v>
      </c>
      <c r="I76" s="780">
        <f t="shared" si="8"/>
        <v>2.1419828641370868</v>
      </c>
      <c r="J76" s="781">
        <v>0.98</v>
      </c>
      <c r="K76" s="776" t="s">
        <v>659</v>
      </c>
      <c r="L76" s="782">
        <f t="shared" si="9"/>
        <v>35.714285714285715</v>
      </c>
      <c r="M76" s="783"/>
      <c r="N76" s="784">
        <f t="shared" si="10"/>
        <v>35.714285714285715</v>
      </c>
      <c r="O76" s="495"/>
    </row>
    <row r="77" spans="2:15" ht="18.95" customHeight="1">
      <c r="B77" s="740" t="s">
        <v>368</v>
      </c>
      <c r="C77" s="741" t="s">
        <v>392</v>
      </c>
      <c r="D77" s="741" t="s">
        <v>410</v>
      </c>
      <c r="E77" s="630"/>
      <c r="F77" s="741"/>
      <c r="G77" s="742"/>
      <c r="H77" s="743"/>
      <c r="I77" s="744">
        <f t="shared" si="8"/>
        <v>0</v>
      </c>
      <c r="J77" s="745"/>
      <c r="K77" s="741" t="s">
        <v>61</v>
      </c>
      <c r="L77" s="746" t="str">
        <f t="shared" si="9"/>
        <v>-</v>
      </c>
      <c r="M77" s="747"/>
      <c r="N77" s="748" t="str">
        <f t="shared" si="10"/>
        <v>-</v>
      </c>
      <c r="O77" s="495"/>
    </row>
    <row r="78" spans="2:15" ht="18.95" customHeight="1">
      <c r="B78" s="620" t="s">
        <v>675</v>
      </c>
      <c r="C78" s="621" t="s">
        <v>393</v>
      </c>
      <c r="D78" s="621" t="s">
        <v>411</v>
      </c>
      <c r="E78" s="774"/>
      <c r="F78" s="621" t="s">
        <v>994</v>
      </c>
      <c r="G78" s="622">
        <v>1000</v>
      </c>
      <c r="H78" s="628">
        <v>16500</v>
      </c>
      <c r="I78" s="623">
        <f t="shared" si="8"/>
        <v>1.0097919216646267</v>
      </c>
      <c r="J78" s="624">
        <v>0.99</v>
      </c>
      <c r="K78" s="621" t="s">
        <v>61</v>
      </c>
      <c r="L78" s="625">
        <f t="shared" si="9"/>
        <v>16.666666666666668</v>
      </c>
      <c r="M78" s="626"/>
      <c r="N78" s="627">
        <f t="shared" si="10"/>
        <v>16.666666666666668</v>
      </c>
      <c r="O78" s="495"/>
    </row>
    <row r="79" spans="2:15" ht="18.95" customHeight="1">
      <c r="B79" s="620" t="s">
        <v>706</v>
      </c>
      <c r="C79" s="621" t="s">
        <v>394</v>
      </c>
      <c r="D79" s="621" t="s">
        <v>412</v>
      </c>
      <c r="E79" s="774"/>
      <c r="F79" s="621" t="s">
        <v>994</v>
      </c>
      <c r="G79" s="622">
        <v>1000</v>
      </c>
      <c r="H79" s="628">
        <v>76590</v>
      </c>
      <c r="I79" s="623">
        <f t="shared" si="8"/>
        <v>4.687270501835985</v>
      </c>
      <c r="J79" s="624">
        <v>0.99</v>
      </c>
      <c r="K79" s="621" t="s">
        <v>61</v>
      </c>
      <c r="L79" s="625">
        <f t="shared" si="9"/>
        <v>77.363636363636374</v>
      </c>
      <c r="M79" s="626"/>
      <c r="N79" s="627">
        <f t="shared" si="10"/>
        <v>77.363636363636374</v>
      </c>
      <c r="O79" s="495"/>
    </row>
    <row r="80" spans="2:15" ht="18.95" customHeight="1">
      <c r="B80" s="620" t="s">
        <v>641</v>
      </c>
      <c r="C80" s="621" t="s">
        <v>395</v>
      </c>
      <c r="D80" s="621" t="s">
        <v>413</v>
      </c>
      <c r="E80" s="774"/>
      <c r="F80" s="621" t="s">
        <v>994</v>
      </c>
      <c r="G80" s="622">
        <v>1000</v>
      </c>
      <c r="H80" s="628">
        <v>45000</v>
      </c>
      <c r="I80" s="623">
        <f t="shared" si="8"/>
        <v>2.7539779681762546</v>
      </c>
      <c r="J80" s="624">
        <v>0.99</v>
      </c>
      <c r="K80" s="621" t="s">
        <v>61</v>
      </c>
      <c r="L80" s="625">
        <f t="shared" si="9"/>
        <v>45.454545454545453</v>
      </c>
      <c r="M80" s="626"/>
      <c r="N80" s="627">
        <f t="shared" si="10"/>
        <v>45.454545454545453</v>
      </c>
      <c r="O80" s="495"/>
    </row>
    <row r="81" spans="2:15" ht="18.95" customHeight="1">
      <c r="B81" s="620" t="s">
        <v>370</v>
      </c>
      <c r="C81" s="621" t="s">
        <v>396</v>
      </c>
      <c r="D81" s="621" t="s">
        <v>414</v>
      </c>
      <c r="E81" s="774"/>
      <c r="F81" s="621" t="s">
        <v>994</v>
      </c>
      <c r="G81" s="622">
        <v>1000</v>
      </c>
      <c r="H81" s="628">
        <v>61900</v>
      </c>
      <c r="I81" s="623">
        <f t="shared" ref="I81:I98" si="11">H81/$I$3</f>
        <v>3.7882496940024479</v>
      </c>
      <c r="J81" s="624">
        <v>0.99</v>
      </c>
      <c r="K81" s="621" t="s">
        <v>61</v>
      </c>
      <c r="L81" s="625">
        <f t="shared" si="9"/>
        <v>62.525252525252526</v>
      </c>
      <c r="M81" s="626"/>
      <c r="N81" s="627">
        <f t="shared" si="10"/>
        <v>62.525252525252526</v>
      </c>
      <c r="O81" s="495"/>
    </row>
    <row r="82" spans="2:15" ht="18.95" customHeight="1">
      <c r="B82" s="620" t="s">
        <v>371</v>
      </c>
      <c r="C82" s="621" t="s">
        <v>402</v>
      </c>
      <c r="D82" s="621" t="s">
        <v>1003</v>
      </c>
      <c r="E82" s="774"/>
      <c r="F82" s="621" t="s">
        <v>998</v>
      </c>
      <c r="G82" s="622">
        <v>1000</v>
      </c>
      <c r="H82" s="628">
        <v>52400</v>
      </c>
      <c r="I82" s="623">
        <f t="shared" si="11"/>
        <v>3.2068543451652385</v>
      </c>
      <c r="J82" s="624">
        <v>0.99</v>
      </c>
      <c r="K82" s="621" t="s">
        <v>61</v>
      </c>
      <c r="L82" s="625">
        <f t="shared" ref="L82:L101" si="12">IFERROR(H82/G82/J82,"-")</f>
        <v>52.929292929292927</v>
      </c>
      <c r="M82" s="626"/>
      <c r="N82" s="627">
        <f t="shared" si="10"/>
        <v>52.929292929292927</v>
      </c>
      <c r="O82" s="495"/>
    </row>
    <row r="83" spans="2:15" ht="18.95" customHeight="1">
      <c r="B83" s="620" t="s">
        <v>674</v>
      </c>
      <c r="C83" s="621" t="s">
        <v>404</v>
      </c>
      <c r="D83" s="621" t="s">
        <v>424</v>
      </c>
      <c r="E83" s="774"/>
      <c r="F83" s="621" t="s">
        <v>994</v>
      </c>
      <c r="G83" s="622">
        <v>1000</v>
      </c>
      <c r="H83" s="628">
        <v>32000</v>
      </c>
      <c r="I83" s="623">
        <f t="shared" si="11"/>
        <v>1.9583843329253365</v>
      </c>
      <c r="J83" s="624">
        <v>0.99</v>
      </c>
      <c r="K83" s="621" t="s">
        <v>61</v>
      </c>
      <c r="L83" s="625">
        <f t="shared" si="12"/>
        <v>32.323232323232325</v>
      </c>
      <c r="M83" s="626"/>
      <c r="N83" s="627">
        <f t="shared" si="10"/>
        <v>32.323232323232325</v>
      </c>
      <c r="O83" s="495"/>
    </row>
    <row r="84" spans="2:15">
      <c r="B84" s="620" t="s">
        <v>671</v>
      </c>
      <c r="C84" s="621" t="s">
        <v>429</v>
      </c>
      <c r="D84" s="621" t="s">
        <v>460</v>
      </c>
      <c r="E84" s="774"/>
      <c r="F84" s="621" t="s">
        <v>869</v>
      </c>
      <c r="G84" s="622">
        <v>500</v>
      </c>
      <c r="H84" s="628">
        <v>91000</v>
      </c>
      <c r="I84" s="623">
        <f t="shared" si="11"/>
        <v>5.5691554467564259</v>
      </c>
      <c r="J84" s="624">
        <v>0.99</v>
      </c>
      <c r="K84" s="621" t="s">
        <v>61</v>
      </c>
      <c r="L84" s="625">
        <f t="shared" si="12"/>
        <v>183.83838383838383</v>
      </c>
      <c r="M84" s="626"/>
      <c r="N84" s="627">
        <f t="shared" si="10"/>
        <v>183.83838383838383</v>
      </c>
      <c r="O84" s="495"/>
    </row>
    <row r="85" spans="2:15">
      <c r="B85" s="620" t="s">
        <v>380</v>
      </c>
      <c r="C85" s="621" t="s">
        <v>435</v>
      </c>
      <c r="D85" s="621" t="s">
        <v>447</v>
      </c>
      <c r="E85" s="774"/>
      <c r="F85" s="621" t="s">
        <v>998</v>
      </c>
      <c r="G85" s="622">
        <v>1000</v>
      </c>
      <c r="H85" s="628">
        <v>21000</v>
      </c>
      <c r="I85" s="623">
        <f t="shared" si="11"/>
        <v>1.2851897184822521</v>
      </c>
      <c r="J85" s="624">
        <v>0.99</v>
      </c>
      <c r="K85" s="621" t="s">
        <v>61</v>
      </c>
      <c r="L85" s="625">
        <f t="shared" si="12"/>
        <v>21.212121212121211</v>
      </c>
      <c r="M85" s="626"/>
      <c r="N85" s="627">
        <f t="shared" si="10"/>
        <v>21.212121212121211</v>
      </c>
      <c r="O85" s="495"/>
    </row>
    <row r="86" spans="2:15">
      <c r="B86" s="620" t="s">
        <v>682</v>
      </c>
      <c r="C86" s="621" t="s">
        <v>439</v>
      </c>
      <c r="D86" s="621" t="s">
        <v>451</v>
      </c>
      <c r="E86" s="774"/>
      <c r="F86" s="621" t="s">
        <v>994</v>
      </c>
      <c r="G86" s="622">
        <v>1000</v>
      </c>
      <c r="H86" s="628">
        <v>53465</v>
      </c>
      <c r="I86" s="623">
        <f t="shared" si="11"/>
        <v>3.2720318237454102</v>
      </c>
      <c r="J86" s="624">
        <v>0.99</v>
      </c>
      <c r="K86" s="621" t="s">
        <v>61</v>
      </c>
      <c r="L86" s="625">
        <f t="shared" si="12"/>
        <v>54.005050505050512</v>
      </c>
      <c r="M86" s="626"/>
      <c r="N86" s="627">
        <f t="shared" si="10"/>
        <v>54.005050505050512</v>
      </c>
      <c r="O86" s="495"/>
    </row>
    <row r="87" spans="2:15">
      <c r="B87" s="620" t="s">
        <v>383</v>
      </c>
      <c r="C87" s="621" t="s">
        <v>442</v>
      </c>
      <c r="D87" s="629" t="s">
        <v>1163</v>
      </c>
      <c r="E87" s="774"/>
      <c r="F87" s="621" t="s">
        <v>994</v>
      </c>
      <c r="G87" s="622">
        <v>1000</v>
      </c>
      <c r="H87" s="628">
        <v>88800</v>
      </c>
      <c r="I87" s="623">
        <f t="shared" si="11"/>
        <v>5.434516523867809</v>
      </c>
      <c r="J87" s="624">
        <v>0.99</v>
      </c>
      <c r="K87" s="621" t="s">
        <v>61</v>
      </c>
      <c r="L87" s="625">
        <f t="shared" si="12"/>
        <v>89.696969696969688</v>
      </c>
      <c r="M87" s="626"/>
      <c r="N87" s="627">
        <f t="shared" si="10"/>
        <v>89.696969696969688</v>
      </c>
      <c r="O87" s="495"/>
    </row>
    <row r="88" spans="2:15">
      <c r="B88" s="620" t="s">
        <v>384</v>
      </c>
      <c r="C88" s="621" t="s">
        <v>443</v>
      </c>
      <c r="D88" s="621" t="s">
        <v>453</v>
      </c>
      <c r="E88" s="774"/>
      <c r="F88" s="621" t="s">
        <v>1151</v>
      </c>
      <c r="G88" s="622">
        <v>500</v>
      </c>
      <c r="H88" s="628">
        <v>38000</v>
      </c>
      <c r="I88" s="623">
        <f t="shared" si="11"/>
        <v>2.3255813953488373</v>
      </c>
      <c r="J88" s="624">
        <v>0.99</v>
      </c>
      <c r="K88" s="621" t="s">
        <v>61</v>
      </c>
      <c r="L88" s="625">
        <f t="shared" si="12"/>
        <v>76.767676767676775</v>
      </c>
      <c r="M88" s="626"/>
      <c r="N88" s="627">
        <f t="shared" si="10"/>
        <v>76.767676767676775</v>
      </c>
      <c r="O88" s="495"/>
    </row>
    <row r="89" spans="2:15">
      <c r="B89" s="620" t="s">
        <v>771</v>
      </c>
      <c r="C89" s="621" t="s">
        <v>462</v>
      </c>
      <c r="D89" s="621" t="s">
        <v>468</v>
      </c>
      <c r="E89" s="774"/>
      <c r="F89" s="621" t="s">
        <v>1157</v>
      </c>
      <c r="G89" s="622">
        <v>3000</v>
      </c>
      <c r="H89" s="628">
        <v>182000</v>
      </c>
      <c r="I89" s="623">
        <f t="shared" si="11"/>
        <v>11.138310893512852</v>
      </c>
      <c r="J89" s="624">
        <v>0.99</v>
      </c>
      <c r="K89" s="621" t="s">
        <v>61</v>
      </c>
      <c r="L89" s="625">
        <f t="shared" si="12"/>
        <v>61.27946127946128</v>
      </c>
      <c r="M89" s="626"/>
      <c r="N89" s="627">
        <f t="shared" si="10"/>
        <v>61.27946127946128</v>
      </c>
      <c r="O89" s="495"/>
    </row>
    <row r="90" spans="2:15">
      <c r="B90" s="620" t="s">
        <v>387</v>
      </c>
      <c r="C90" s="621" t="s">
        <v>463</v>
      </c>
      <c r="D90" s="621" t="s">
        <v>469</v>
      </c>
      <c r="E90" s="774"/>
      <c r="F90" s="621" t="s">
        <v>1007</v>
      </c>
      <c r="G90" s="622">
        <v>473</v>
      </c>
      <c r="H90" s="628">
        <v>35700</v>
      </c>
      <c r="I90" s="623">
        <f t="shared" si="11"/>
        <v>2.1848225214198287</v>
      </c>
      <c r="J90" s="624">
        <v>0.99</v>
      </c>
      <c r="K90" s="621" t="s">
        <v>61</v>
      </c>
      <c r="L90" s="625">
        <f t="shared" si="12"/>
        <v>76.238067781408162</v>
      </c>
      <c r="M90" s="626"/>
      <c r="N90" s="627">
        <f t="shared" si="10"/>
        <v>76.238067781408162</v>
      </c>
      <c r="O90" s="495"/>
    </row>
    <row r="91" spans="2:15">
      <c r="B91" s="620" t="s">
        <v>388</v>
      </c>
      <c r="C91" s="621" t="s">
        <v>464</v>
      </c>
      <c r="D91" s="621" t="s">
        <v>1104</v>
      </c>
      <c r="E91" s="774"/>
      <c r="F91" s="621" t="s">
        <v>1247</v>
      </c>
      <c r="G91" s="622">
        <v>1000</v>
      </c>
      <c r="H91" s="628">
        <v>80000</v>
      </c>
      <c r="I91" s="623">
        <f t="shared" si="11"/>
        <v>4.8959608323133414</v>
      </c>
      <c r="J91" s="624">
        <v>0.99</v>
      </c>
      <c r="K91" s="621" t="s">
        <v>61</v>
      </c>
      <c r="L91" s="625">
        <f t="shared" si="12"/>
        <v>80.808080808080803</v>
      </c>
      <c r="M91" s="626"/>
      <c r="N91" s="627">
        <f t="shared" si="10"/>
        <v>80.808080808080803</v>
      </c>
      <c r="O91" s="495"/>
    </row>
    <row r="92" spans="2:15">
      <c r="B92" s="620" t="s">
        <v>776</v>
      </c>
      <c r="C92" s="621" t="s">
        <v>907</v>
      </c>
      <c r="D92" s="621" t="s">
        <v>696</v>
      </c>
      <c r="E92" s="774"/>
      <c r="F92" s="621" t="s">
        <v>1153</v>
      </c>
      <c r="G92" s="622">
        <v>200</v>
      </c>
      <c r="H92" s="628">
        <v>11000</v>
      </c>
      <c r="I92" s="623">
        <f t="shared" si="11"/>
        <v>0.67319461444308448</v>
      </c>
      <c r="J92" s="624">
        <v>0.99</v>
      </c>
      <c r="K92" s="621" t="s">
        <v>691</v>
      </c>
      <c r="L92" s="625">
        <f t="shared" si="12"/>
        <v>55.555555555555557</v>
      </c>
      <c r="M92" s="626"/>
      <c r="N92" s="627">
        <f t="shared" si="10"/>
        <v>55.555555555555557</v>
      </c>
      <c r="O92" s="495"/>
    </row>
    <row r="93" spans="2:15">
      <c r="B93" s="620" t="s">
        <v>779</v>
      </c>
      <c r="C93" s="621" t="s">
        <v>731</v>
      </c>
      <c r="D93" s="621" t="s">
        <v>732</v>
      </c>
      <c r="E93" s="774"/>
      <c r="F93" s="621" t="s">
        <v>994</v>
      </c>
      <c r="G93" s="622">
        <v>1000</v>
      </c>
      <c r="H93" s="628">
        <v>38571.4</v>
      </c>
      <c r="I93" s="623">
        <f t="shared" si="11"/>
        <v>2.3605507955936353</v>
      </c>
      <c r="J93" s="624">
        <v>2</v>
      </c>
      <c r="K93" s="621" t="s">
        <v>1030</v>
      </c>
      <c r="L93" s="625">
        <f t="shared" si="12"/>
        <v>19.285700000000002</v>
      </c>
      <c r="M93" s="626"/>
      <c r="N93" s="627">
        <f t="shared" si="10"/>
        <v>19.285700000000002</v>
      </c>
      <c r="O93" s="495"/>
    </row>
    <row r="94" spans="2:15">
      <c r="B94" s="620" t="s">
        <v>1004</v>
      </c>
      <c r="C94" s="621" t="s">
        <v>1005</v>
      </c>
      <c r="D94" s="621" t="s">
        <v>1006</v>
      </c>
      <c r="E94" s="774"/>
      <c r="F94" s="621" t="s">
        <v>994</v>
      </c>
      <c r="G94" s="622">
        <v>1000</v>
      </c>
      <c r="H94" s="628">
        <v>89900</v>
      </c>
      <c r="I94" s="623">
        <f t="shared" si="11"/>
        <v>5.5018359853121179</v>
      </c>
      <c r="J94" s="624">
        <v>0.99</v>
      </c>
      <c r="K94" s="621" t="s">
        <v>1030</v>
      </c>
      <c r="L94" s="625">
        <f t="shared" si="12"/>
        <v>90.808080808080817</v>
      </c>
      <c r="M94" s="626"/>
      <c r="N94" s="627">
        <f t="shared" ref="N94:N101" si="13">IFERROR(L94*(1+M94),"-")</f>
        <v>90.808080808080817</v>
      </c>
      <c r="O94" s="495"/>
    </row>
    <row r="95" spans="2:15">
      <c r="B95" s="620" t="s">
        <v>1021</v>
      </c>
      <c r="C95" s="621" t="s">
        <v>1008</v>
      </c>
      <c r="D95" s="621" t="s">
        <v>1009</v>
      </c>
      <c r="E95" s="774"/>
      <c r="F95" s="621" t="s">
        <v>998</v>
      </c>
      <c r="G95" s="622">
        <v>1000</v>
      </c>
      <c r="H95" s="628">
        <v>138750</v>
      </c>
      <c r="I95" s="623">
        <f t="shared" si="11"/>
        <v>8.4914320685434515</v>
      </c>
      <c r="J95" s="624">
        <v>0.99</v>
      </c>
      <c r="K95" s="621" t="s">
        <v>1030</v>
      </c>
      <c r="L95" s="625">
        <f t="shared" si="12"/>
        <v>140.15151515151516</v>
      </c>
      <c r="M95" s="626"/>
      <c r="N95" s="627">
        <f t="shared" si="13"/>
        <v>140.15151515151516</v>
      </c>
      <c r="O95" s="495"/>
    </row>
    <row r="96" spans="2:15">
      <c r="B96" s="620" t="s">
        <v>1022</v>
      </c>
      <c r="C96" s="621" t="s">
        <v>1010</v>
      </c>
      <c r="D96" s="621" t="s">
        <v>1011</v>
      </c>
      <c r="E96" s="774"/>
      <c r="F96" s="621" t="s">
        <v>1012</v>
      </c>
      <c r="G96" s="622">
        <v>1000</v>
      </c>
      <c r="H96" s="628">
        <v>138750</v>
      </c>
      <c r="I96" s="623">
        <f t="shared" si="11"/>
        <v>8.4914320685434515</v>
      </c>
      <c r="J96" s="624">
        <v>0.99</v>
      </c>
      <c r="K96" s="621" t="s">
        <v>1030</v>
      </c>
      <c r="L96" s="625">
        <f t="shared" si="12"/>
        <v>140.15151515151516</v>
      </c>
      <c r="M96" s="626"/>
      <c r="N96" s="627">
        <f t="shared" si="13"/>
        <v>140.15151515151516</v>
      </c>
      <c r="O96" s="495"/>
    </row>
    <row r="97" spans="2:15">
      <c r="B97" s="620" t="s">
        <v>1023</v>
      </c>
      <c r="C97" s="621" t="s">
        <v>1013</v>
      </c>
      <c r="D97" s="621" t="s">
        <v>1014</v>
      </c>
      <c r="E97" s="774"/>
      <c r="F97" s="621" t="s">
        <v>1196</v>
      </c>
      <c r="G97" s="622">
        <v>750</v>
      </c>
      <c r="H97" s="628">
        <v>7700</v>
      </c>
      <c r="I97" s="623">
        <f t="shared" si="11"/>
        <v>0.47123623011015914</v>
      </c>
      <c r="J97" s="624">
        <v>0.99</v>
      </c>
      <c r="K97" s="621" t="s">
        <v>1030</v>
      </c>
      <c r="L97" s="625">
        <f t="shared" si="12"/>
        <v>10.370370370370372</v>
      </c>
      <c r="M97" s="626"/>
      <c r="N97" s="627">
        <f t="shared" si="13"/>
        <v>10.370370370370372</v>
      </c>
      <c r="O97" s="495"/>
    </row>
    <row r="98" spans="2:15">
      <c r="B98" s="620" t="s">
        <v>1024</v>
      </c>
      <c r="C98" s="621" t="s">
        <v>1015</v>
      </c>
      <c r="D98" s="621" t="s">
        <v>1016</v>
      </c>
      <c r="E98" s="774"/>
      <c r="F98" s="621" t="s">
        <v>998</v>
      </c>
      <c r="G98" s="622">
        <v>1000</v>
      </c>
      <c r="H98" s="628">
        <v>154700</v>
      </c>
      <c r="I98" s="623">
        <f t="shared" si="11"/>
        <v>9.4675642594859237</v>
      </c>
      <c r="J98" s="624">
        <v>0.99</v>
      </c>
      <c r="K98" s="621" t="s">
        <v>1030</v>
      </c>
      <c r="L98" s="625">
        <f t="shared" si="12"/>
        <v>156.26262626262624</v>
      </c>
      <c r="M98" s="626"/>
      <c r="N98" s="627">
        <f t="shared" si="13"/>
        <v>156.26262626262624</v>
      </c>
      <c r="O98" s="495"/>
    </row>
    <row r="99" spans="2:15">
      <c r="B99" s="620" t="s">
        <v>1025</v>
      </c>
      <c r="C99" s="621" t="s">
        <v>1017</v>
      </c>
      <c r="D99" s="621" t="s">
        <v>1018</v>
      </c>
      <c r="E99" s="774"/>
      <c r="F99" s="621" t="s">
        <v>994</v>
      </c>
      <c r="G99" s="622">
        <v>1000</v>
      </c>
      <c r="H99" s="628">
        <v>110000</v>
      </c>
      <c r="I99" s="623">
        <f t="shared" ref="I99:I125" si="14">H99/$I$3</f>
        <v>6.7319461444308448</v>
      </c>
      <c r="J99" s="624">
        <v>0.99</v>
      </c>
      <c r="K99" s="621" t="s">
        <v>1030</v>
      </c>
      <c r="L99" s="625">
        <f t="shared" si="12"/>
        <v>111.11111111111111</v>
      </c>
      <c r="M99" s="626"/>
      <c r="N99" s="627">
        <f t="shared" si="13"/>
        <v>111.11111111111111</v>
      </c>
      <c r="O99" s="495"/>
    </row>
    <row r="100" spans="2:15">
      <c r="B100" s="620" t="s">
        <v>1109</v>
      </c>
      <c r="C100" s="621" t="s">
        <v>1019</v>
      </c>
      <c r="D100" s="621" t="s">
        <v>1020</v>
      </c>
      <c r="E100" s="774"/>
      <c r="F100" s="621" t="s">
        <v>1158</v>
      </c>
      <c r="G100" s="622">
        <v>800</v>
      </c>
      <c r="H100" s="628">
        <v>58900</v>
      </c>
      <c r="I100" s="623">
        <f t="shared" si="14"/>
        <v>3.6046511627906979</v>
      </c>
      <c r="J100" s="624">
        <v>0.99</v>
      </c>
      <c r="K100" s="621" t="s">
        <v>1030</v>
      </c>
      <c r="L100" s="625">
        <f t="shared" si="12"/>
        <v>74.368686868686865</v>
      </c>
      <c r="M100" s="626"/>
      <c r="N100" s="627">
        <f t="shared" si="13"/>
        <v>74.368686868686865</v>
      </c>
      <c r="O100" s="495"/>
    </row>
    <row r="101" spans="2:15">
      <c r="B101" s="620" t="s">
        <v>1028</v>
      </c>
      <c r="C101" s="621" t="s">
        <v>1026</v>
      </c>
      <c r="D101" s="621" t="s">
        <v>1027</v>
      </c>
      <c r="E101" s="774"/>
      <c r="F101" s="621" t="s">
        <v>1159</v>
      </c>
      <c r="G101" s="622">
        <v>545</v>
      </c>
      <c r="H101" s="628">
        <v>21500</v>
      </c>
      <c r="I101" s="623">
        <f t="shared" si="14"/>
        <v>1.3157894736842106</v>
      </c>
      <c r="J101" s="624">
        <v>0.99</v>
      </c>
      <c r="K101" s="621" t="s">
        <v>1030</v>
      </c>
      <c r="L101" s="625">
        <f t="shared" si="12"/>
        <v>39.848021499397646</v>
      </c>
      <c r="M101" s="626"/>
      <c r="N101" s="627">
        <f t="shared" si="13"/>
        <v>39.848021499397646</v>
      </c>
      <c r="O101" s="495"/>
    </row>
    <row r="102" spans="2:15">
      <c r="B102" s="620" t="s">
        <v>1029</v>
      </c>
      <c r="C102" s="621" t="s">
        <v>1165</v>
      </c>
      <c r="D102" s="629" t="s">
        <v>1742</v>
      </c>
      <c r="E102" s="774"/>
      <c r="F102" s="621" t="s">
        <v>1146</v>
      </c>
      <c r="G102" s="622">
        <v>60</v>
      </c>
      <c r="H102" s="628">
        <v>23220</v>
      </c>
      <c r="I102" s="623">
        <f t="shared" si="14"/>
        <v>1.4210526315789473</v>
      </c>
      <c r="J102" s="624">
        <v>0.99</v>
      </c>
      <c r="K102" s="621" t="s">
        <v>1030</v>
      </c>
      <c r="L102" s="625">
        <f t="shared" ref="L102:L150" si="15">IFERROR(H102/G102/J102,"-")</f>
        <v>390.90909090909093</v>
      </c>
      <c r="M102" s="626"/>
      <c r="N102" s="627">
        <f>IFERROR(L102*(1+M102),"-")</f>
        <v>390.90909090909093</v>
      </c>
      <c r="O102" s="495"/>
    </row>
    <row r="103" spans="2:15">
      <c r="B103" s="620" t="s">
        <v>1666</v>
      </c>
      <c r="C103" s="621"/>
      <c r="D103" s="629" t="s">
        <v>1667</v>
      </c>
      <c r="E103" s="774"/>
      <c r="F103" s="621" t="s">
        <v>994</v>
      </c>
      <c r="G103" s="622">
        <v>1000</v>
      </c>
      <c r="H103" s="628">
        <v>260000</v>
      </c>
      <c r="I103" s="623">
        <f t="shared" si="14"/>
        <v>15.911872705018359</v>
      </c>
      <c r="J103" s="624">
        <v>0.99</v>
      </c>
      <c r="K103" s="621" t="s">
        <v>61</v>
      </c>
      <c r="L103" s="625">
        <f t="shared" ref="L103:L112" si="16">IFERROR(H103/G103/J103,"-")</f>
        <v>262.62626262626264</v>
      </c>
      <c r="M103" s="626"/>
      <c r="N103" s="627">
        <f t="shared" ref="N103:N112" si="17">IFERROR(L103*(1+M103),"-")</f>
        <v>262.62626262626264</v>
      </c>
      <c r="O103" s="495"/>
    </row>
    <row r="104" spans="2:15">
      <c r="B104" s="620" t="s">
        <v>1687</v>
      </c>
      <c r="C104" s="621"/>
      <c r="D104" s="621" t="s">
        <v>1688</v>
      </c>
      <c r="E104" s="774"/>
      <c r="F104" s="621" t="s">
        <v>1689</v>
      </c>
      <c r="G104" s="622">
        <v>22</v>
      </c>
      <c r="H104" s="628">
        <v>5200</v>
      </c>
      <c r="I104" s="623"/>
      <c r="J104" s="624">
        <v>1</v>
      </c>
      <c r="K104" s="621" t="s">
        <v>1690</v>
      </c>
      <c r="L104" s="625">
        <f t="shared" si="16"/>
        <v>236.36363636363637</v>
      </c>
      <c r="M104" s="626"/>
      <c r="N104" s="627">
        <f t="shared" si="17"/>
        <v>236.36363636363637</v>
      </c>
      <c r="O104" s="495"/>
    </row>
    <row r="105" spans="2:15">
      <c r="B105" s="620" t="s">
        <v>1692</v>
      </c>
      <c r="C105" s="621"/>
      <c r="D105" s="621" t="s">
        <v>1537</v>
      </c>
      <c r="E105" s="774"/>
      <c r="F105" s="621" t="s">
        <v>1689</v>
      </c>
      <c r="G105" s="622">
        <v>22</v>
      </c>
      <c r="H105" s="628">
        <v>5200</v>
      </c>
      <c r="I105" s="623"/>
      <c r="J105" s="624">
        <v>1</v>
      </c>
      <c r="K105" s="621" t="s">
        <v>1690</v>
      </c>
      <c r="L105" s="625">
        <f t="shared" si="16"/>
        <v>236.36363636363637</v>
      </c>
      <c r="M105" s="626"/>
      <c r="N105" s="627">
        <f t="shared" si="17"/>
        <v>236.36363636363637</v>
      </c>
      <c r="O105" s="495"/>
    </row>
    <row r="106" spans="2:15">
      <c r="B106" s="620" t="s">
        <v>1694</v>
      </c>
      <c r="C106" s="621"/>
      <c r="D106" s="621" t="s">
        <v>1538</v>
      </c>
      <c r="E106" s="774"/>
      <c r="F106" s="621" t="s">
        <v>1689</v>
      </c>
      <c r="G106" s="622">
        <v>22</v>
      </c>
      <c r="H106" s="628">
        <v>4712</v>
      </c>
      <c r="I106" s="623"/>
      <c r="J106" s="624">
        <v>1</v>
      </c>
      <c r="K106" s="621" t="s">
        <v>1690</v>
      </c>
      <c r="L106" s="625">
        <f t="shared" si="16"/>
        <v>214.18181818181819</v>
      </c>
      <c r="M106" s="626"/>
      <c r="N106" s="627">
        <f t="shared" si="17"/>
        <v>214.18181818181819</v>
      </c>
      <c r="O106" s="495"/>
    </row>
    <row r="107" spans="2:15">
      <c r="B107" s="620" t="s">
        <v>1695</v>
      </c>
      <c r="C107" s="621"/>
      <c r="D107" s="621" t="s">
        <v>1728</v>
      </c>
      <c r="E107" s="774"/>
      <c r="F107" s="621" t="s">
        <v>1696</v>
      </c>
      <c r="G107" s="622">
        <v>1000</v>
      </c>
      <c r="H107" s="628">
        <v>68820</v>
      </c>
      <c r="I107" s="623"/>
      <c r="J107" s="624">
        <v>1</v>
      </c>
      <c r="K107" s="621" t="s">
        <v>61</v>
      </c>
      <c r="L107" s="625">
        <f t="shared" si="16"/>
        <v>68.819999999999993</v>
      </c>
      <c r="M107" s="626"/>
      <c r="N107" s="627">
        <f t="shared" si="17"/>
        <v>68.819999999999993</v>
      </c>
      <c r="O107" s="495"/>
    </row>
    <row r="108" spans="2:15">
      <c r="B108" s="620" t="s">
        <v>1699</v>
      </c>
      <c r="C108" s="621"/>
      <c r="D108" s="621" t="s">
        <v>1700</v>
      </c>
      <c r="E108" s="774"/>
      <c r="F108" s="621" t="s">
        <v>994</v>
      </c>
      <c r="G108" s="622">
        <v>1000</v>
      </c>
      <c r="H108" s="628">
        <v>135000</v>
      </c>
      <c r="I108" s="623"/>
      <c r="J108" s="624">
        <v>1</v>
      </c>
      <c r="K108" s="621" t="s">
        <v>61</v>
      </c>
      <c r="L108" s="625">
        <f t="shared" si="16"/>
        <v>135</v>
      </c>
      <c r="M108" s="626"/>
      <c r="N108" s="627">
        <f t="shared" si="17"/>
        <v>135</v>
      </c>
      <c r="O108" s="495"/>
    </row>
    <row r="109" spans="2:15">
      <c r="B109" s="620" t="s">
        <v>1727</v>
      </c>
      <c r="C109" s="621"/>
      <c r="D109" s="621" t="s">
        <v>1729</v>
      </c>
      <c r="E109" s="774"/>
      <c r="F109" s="621" t="s">
        <v>1730</v>
      </c>
      <c r="G109" s="622">
        <v>250</v>
      </c>
      <c r="H109" s="628">
        <v>39000</v>
      </c>
      <c r="I109" s="623"/>
      <c r="J109" s="624">
        <v>1</v>
      </c>
      <c r="K109" s="621" t="s">
        <v>61</v>
      </c>
      <c r="L109" s="625">
        <f t="shared" si="16"/>
        <v>156</v>
      </c>
      <c r="M109" s="626"/>
      <c r="N109" s="627">
        <f t="shared" si="17"/>
        <v>156</v>
      </c>
      <c r="O109" s="495"/>
    </row>
    <row r="110" spans="2:15" ht="22.8" customHeight="1">
      <c r="B110" s="620" t="s">
        <v>1740</v>
      </c>
      <c r="C110" s="621"/>
      <c r="D110" s="621" t="s" ph="1">
        <v>1739</v>
      </c>
      <c r="E110" s="774"/>
      <c r="F110" s="621" t="s">
        <v>1741</v>
      </c>
      <c r="G110" s="622">
        <v>950</v>
      </c>
      <c r="H110" s="628">
        <v>17500</v>
      </c>
      <c r="I110" s="623"/>
      <c r="J110" s="624">
        <v>1</v>
      </c>
      <c r="K110" s="621" t="s">
        <v>1286</v>
      </c>
      <c r="L110" s="625">
        <f t="shared" si="16"/>
        <v>18.421052631578949</v>
      </c>
      <c r="M110" s="626"/>
      <c r="N110" s="627">
        <f t="shared" si="17"/>
        <v>18.421052631578949</v>
      </c>
      <c r="O110" s="495"/>
    </row>
    <row r="111" spans="2:15" ht="22.8" customHeight="1">
      <c r="B111" s="620" t="s">
        <v>1753</v>
      </c>
      <c r="C111" s="621"/>
      <c r="D111" s="673" t="s">
        <v>1752</v>
      </c>
      <c r="E111" s="774"/>
      <c r="F111" s="621" t="s">
        <v>994</v>
      </c>
      <c r="G111" s="622">
        <v>1000</v>
      </c>
      <c r="H111" s="628">
        <v>100000</v>
      </c>
      <c r="I111" s="623"/>
      <c r="J111" s="624">
        <v>1</v>
      </c>
      <c r="K111" s="621" t="s">
        <v>61</v>
      </c>
      <c r="L111" s="625">
        <f t="shared" si="16"/>
        <v>100</v>
      </c>
      <c r="M111" s="626"/>
      <c r="N111" s="627">
        <f t="shared" si="17"/>
        <v>100</v>
      </c>
      <c r="O111" s="495"/>
    </row>
    <row r="112" spans="2:15" ht="22.8" customHeight="1">
      <c r="B112" s="620" t="s">
        <v>1769</v>
      </c>
      <c r="C112" s="621"/>
      <c r="D112" s="673" t="s">
        <v>1770</v>
      </c>
      <c r="E112" s="774"/>
      <c r="F112" s="621" t="s">
        <v>994</v>
      </c>
      <c r="G112" s="622">
        <v>1000</v>
      </c>
      <c r="H112" s="628">
        <v>42735</v>
      </c>
      <c r="I112" s="623"/>
      <c r="J112" s="624">
        <v>1</v>
      </c>
      <c r="K112" s="621" t="s">
        <v>61</v>
      </c>
      <c r="L112" s="625">
        <f t="shared" si="16"/>
        <v>42.734999999999999</v>
      </c>
      <c r="M112" s="626"/>
      <c r="N112" s="627">
        <f t="shared" si="17"/>
        <v>42.734999999999999</v>
      </c>
      <c r="O112" s="495"/>
    </row>
    <row r="113" spans="2:15" ht="22.8" customHeight="1">
      <c r="B113" s="620" t="s">
        <v>1895</v>
      </c>
      <c r="C113" s="621"/>
      <c r="D113" s="673" t="s">
        <v>1896</v>
      </c>
      <c r="E113" s="774"/>
      <c r="F113" s="621" t="s">
        <v>1897</v>
      </c>
      <c r="G113" s="622">
        <v>5000</v>
      </c>
      <c r="H113" s="628">
        <v>299700</v>
      </c>
      <c r="I113" s="623"/>
      <c r="J113" s="624">
        <v>1</v>
      </c>
      <c r="K113" s="621" t="s">
        <v>61</v>
      </c>
      <c r="L113" s="625">
        <f t="shared" ref="L113:L115" si="18">IFERROR(H113/G113/J113,"-")</f>
        <v>59.94</v>
      </c>
      <c r="M113" s="626"/>
      <c r="N113" s="627">
        <f t="shared" ref="N113:N115" si="19">IFERROR(L113*(1+M113),"-")</f>
        <v>59.94</v>
      </c>
      <c r="O113" s="495"/>
    </row>
    <row r="114" spans="2:15" ht="22.8" customHeight="1">
      <c r="B114" s="620" t="s">
        <v>2095</v>
      </c>
      <c r="C114" s="621"/>
      <c r="D114" s="673" t="s">
        <v>2096</v>
      </c>
      <c r="E114" s="774"/>
      <c r="F114" s="621" t="s">
        <v>2116</v>
      </c>
      <c r="G114" s="622">
        <v>25</v>
      </c>
      <c r="H114" s="628">
        <v>5167.5</v>
      </c>
      <c r="I114" s="623"/>
      <c r="J114" s="624">
        <v>1</v>
      </c>
      <c r="K114" s="621" t="s">
        <v>1690</v>
      </c>
      <c r="L114" s="625">
        <f t="shared" si="18"/>
        <v>206.7</v>
      </c>
      <c r="M114" s="626"/>
      <c r="N114" s="627">
        <f t="shared" si="19"/>
        <v>206.7</v>
      </c>
      <c r="O114" s="838">
        <f>L114*25</f>
        <v>5167.5</v>
      </c>
    </row>
    <row r="115" spans="2:15" ht="22.8" customHeight="1">
      <c r="B115" s="620" t="s">
        <v>2112</v>
      </c>
      <c r="C115" s="621"/>
      <c r="D115" s="673" t="s">
        <v>2110</v>
      </c>
      <c r="E115" s="774"/>
      <c r="F115" s="621" t="s">
        <v>2113</v>
      </c>
      <c r="G115" s="622">
        <v>500</v>
      </c>
      <c r="H115" s="628">
        <v>34800</v>
      </c>
      <c r="I115" s="623"/>
      <c r="J115" s="624">
        <v>1</v>
      </c>
      <c r="K115" s="621" t="s">
        <v>61</v>
      </c>
      <c r="L115" s="625">
        <f t="shared" si="18"/>
        <v>69.599999999999994</v>
      </c>
      <c r="M115" s="626"/>
      <c r="N115" s="627">
        <f t="shared" si="19"/>
        <v>69.599999999999994</v>
      </c>
      <c r="O115" s="495"/>
    </row>
    <row r="116" spans="2:15">
      <c r="B116" s="640" t="s">
        <v>1085</v>
      </c>
      <c r="C116" s="641" t="s">
        <v>1285</v>
      </c>
      <c r="D116" s="641" t="s">
        <v>1284</v>
      </c>
      <c r="E116" s="756"/>
      <c r="F116" s="757" t="s">
        <v>1125</v>
      </c>
      <c r="G116" s="758">
        <v>10000</v>
      </c>
      <c r="H116" s="759">
        <v>700000</v>
      </c>
      <c r="I116" s="644">
        <f t="shared" si="14"/>
        <v>42.83965728274174</v>
      </c>
      <c r="J116" s="645">
        <v>0.99</v>
      </c>
      <c r="K116" s="641" t="s">
        <v>61</v>
      </c>
      <c r="L116" s="646">
        <f t="shared" si="15"/>
        <v>70.707070707070713</v>
      </c>
      <c r="M116" s="647"/>
      <c r="N116" s="648">
        <f t="shared" ref="N116:N125" si="20">IFERROR(L116*(1+M116),"-")</f>
        <v>70.707070707070713</v>
      </c>
      <c r="O116" s="495" t="s">
        <v>1245</v>
      </c>
    </row>
    <row r="117" spans="2:15">
      <c r="B117" s="640" t="s">
        <v>1900</v>
      </c>
      <c r="C117" s="641" t="s">
        <v>1280</v>
      </c>
      <c r="D117" s="641" t="s">
        <v>1280</v>
      </c>
      <c r="E117" s="756"/>
      <c r="F117" s="757" t="s">
        <v>1281</v>
      </c>
      <c r="G117" s="758">
        <v>8000</v>
      </c>
      <c r="H117" s="759">
        <v>254850</v>
      </c>
      <c r="I117" s="644">
        <f t="shared" si="14"/>
        <v>15.596695226438188</v>
      </c>
      <c r="J117" s="645">
        <v>0.99</v>
      </c>
      <c r="K117" s="641" t="s">
        <v>61</v>
      </c>
      <c r="L117" s="646">
        <f t="shared" si="15"/>
        <v>32.178030303030305</v>
      </c>
      <c r="M117" s="647"/>
      <c r="N117" s="648">
        <f t="shared" si="20"/>
        <v>32.178030303030305</v>
      </c>
      <c r="O117" s="495"/>
    </row>
    <row r="118" spans="2:15">
      <c r="B118" s="640" t="s">
        <v>1188</v>
      </c>
      <c r="C118" s="641" t="s">
        <v>1194</v>
      </c>
      <c r="D118" s="641" t="s">
        <v>1195</v>
      </c>
      <c r="E118" s="756"/>
      <c r="F118" s="641" t="s">
        <v>1196</v>
      </c>
      <c r="G118" s="642">
        <v>750</v>
      </c>
      <c r="H118" s="643">
        <v>77700</v>
      </c>
      <c r="I118" s="644">
        <f t="shared" si="14"/>
        <v>4.7552019583843332</v>
      </c>
      <c r="J118" s="645">
        <v>0.99</v>
      </c>
      <c r="K118" s="641" t="s">
        <v>61</v>
      </c>
      <c r="L118" s="646">
        <f t="shared" si="15"/>
        <v>104.64646464646464</v>
      </c>
      <c r="M118" s="647"/>
      <c r="N118" s="648">
        <f t="shared" si="20"/>
        <v>104.64646464646464</v>
      </c>
      <c r="O118" s="495"/>
    </row>
    <row r="119" spans="2:15">
      <c r="B119" s="640" t="s">
        <v>1189</v>
      </c>
      <c r="C119" s="641" t="s">
        <v>1197</v>
      </c>
      <c r="D119" s="641" t="s">
        <v>1198</v>
      </c>
      <c r="E119" s="756"/>
      <c r="F119" s="641" t="s">
        <v>1125</v>
      </c>
      <c r="G119" s="642">
        <v>10000</v>
      </c>
      <c r="H119" s="643">
        <v>16650</v>
      </c>
      <c r="I119" s="644">
        <f t="shared" si="14"/>
        <v>1.0189718482252141</v>
      </c>
      <c r="J119" s="645">
        <v>0.99</v>
      </c>
      <c r="K119" s="641" t="s">
        <v>61</v>
      </c>
      <c r="L119" s="646">
        <f t="shared" si="15"/>
        <v>1.6818181818181819</v>
      </c>
      <c r="M119" s="647"/>
      <c r="N119" s="648">
        <f t="shared" si="20"/>
        <v>1.6818181818181819</v>
      </c>
      <c r="O119" s="495"/>
    </row>
    <row r="120" spans="2:15">
      <c r="B120" s="640" t="s">
        <v>1191</v>
      </c>
      <c r="C120" s="641" t="s">
        <v>1204</v>
      </c>
      <c r="D120" s="641" t="s">
        <v>1203</v>
      </c>
      <c r="E120" s="756"/>
      <c r="F120" s="641" t="s">
        <v>1248</v>
      </c>
      <c r="G120" s="642">
        <v>700</v>
      </c>
      <c r="H120" s="643">
        <v>122100</v>
      </c>
      <c r="I120" s="644">
        <f t="shared" si="14"/>
        <v>7.4724602203182373</v>
      </c>
      <c r="J120" s="645">
        <v>0.99</v>
      </c>
      <c r="K120" s="641" t="s">
        <v>61</v>
      </c>
      <c r="L120" s="646">
        <f t="shared" si="15"/>
        <v>176.19047619047618</v>
      </c>
      <c r="M120" s="647"/>
      <c r="N120" s="648">
        <f t="shared" si="20"/>
        <v>176.19047619047618</v>
      </c>
      <c r="O120" s="495"/>
    </row>
    <row r="121" spans="2:15">
      <c r="B121" s="640" t="s">
        <v>1192</v>
      </c>
      <c r="C121" s="641" t="s">
        <v>1013</v>
      </c>
      <c r="D121" s="641" t="s">
        <v>1014</v>
      </c>
      <c r="E121" s="756"/>
      <c r="F121" s="641" t="s">
        <v>1196</v>
      </c>
      <c r="G121" s="642">
        <v>750</v>
      </c>
      <c r="H121" s="643">
        <v>77700</v>
      </c>
      <c r="I121" s="644">
        <f t="shared" si="14"/>
        <v>4.7552019583843332</v>
      </c>
      <c r="J121" s="645">
        <v>0.99</v>
      </c>
      <c r="K121" s="641" t="s">
        <v>61</v>
      </c>
      <c r="L121" s="646">
        <f t="shared" si="15"/>
        <v>104.64646464646464</v>
      </c>
      <c r="M121" s="647"/>
      <c r="N121" s="648">
        <f t="shared" si="20"/>
        <v>104.64646464646464</v>
      </c>
      <c r="O121" s="495"/>
    </row>
    <row r="122" spans="2:15">
      <c r="B122" s="640" t="s">
        <v>1233</v>
      </c>
      <c r="C122" s="641" t="s">
        <v>1234</v>
      </c>
      <c r="D122" s="641" t="s">
        <v>1236</v>
      </c>
      <c r="E122" s="756"/>
      <c r="F122" s="641" t="s">
        <v>1235</v>
      </c>
      <c r="G122" s="642">
        <v>1500</v>
      </c>
      <c r="H122" s="643">
        <v>70000</v>
      </c>
      <c r="I122" s="644">
        <f t="shared" si="14"/>
        <v>4.2839657282741737</v>
      </c>
      <c r="J122" s="645">
        <v>0.99</v>
      </c>
      <c r="K122" s="641" t="s">
        <v>61</v>
      </c>
      <c r="L122" s="646">
        <f t="shared" si="15"/>
        <v>47.138047138047135</v>
      </c>
      <c r="M122" s="647"/>
      <c r="N122" s="648">
        <f t="shared" si="20"/>
        <v>47.138047138047135</v>
      </c>
      <c r="O122" s="495"/>
    </row>
    <row r="123" spans="2:15">
      <c r="B123" s="640" t="s">
        <v>1238</v>
      </c>
      <c r="C123" s="641" t="s">
        <v>1222</v>
      </c>
      <c r="D123" s="641" t="s">
        <v>1237</v>
      </c>
      <c r="E123" s="756"/>
      <c r="F123" s="641" t="s">
        <v>994</v>
      </c>
      <c r="G123" s="642">
        <v>1000</v>
      </c>
      <c r="H123" s="643">
        <v>286000</v>
      </c>
      <c r="I123" s="644">
        <f t="shared" si="14"/>
        <v>17.503059975520195</v>
      </c>
      <c r="J123" s="645">
        <v>0.99</v>
      </c>
      <c r="K123" s="641" t="s">
        <v>61</v>
      </c>
      <c r="L123" s="646">
        <f t="shared" si="15"/>
        <v>288.88888888888891</v>
      </c>
      <c r="M123" s="647"/>
      <c r="N123" s="648">
        <f t="shared" si="20"/>
        <v>288.88888888888891</v>
      </c>
      <c r="O123" s="495"/>
    </row>
    <row r="124" spans="2:15">
      <c r="B124" s="640" t="s">
        <v>1712</v>
      </c>
      <c r="C124" s="641"/>
      <c r="D124" s="641" t="s">
        <v>1702</v>
      </c>
      <c r="E124" s="756"/>
      <c r="F124" s="641" t="s">
        <v>1710</v>
      </c>
      <c r="G124" s="642">
        <v>1</v>
      </c>
      <c r="H124" s="643">
        <v>277.5</v>
      </c>
      <c r="I124" s="644">
        <f t="shared" si="14"/>
        <v>1.6982864137086905E-2</v>
      </c>
      <c r="J124" s="645">
        <v>4.5999999999999996</v>
      </c>
      <c r="K124" s="641" t="s">
        <v>61</v>
      </c>
      <c r="L124" s="646">
        <f t="shared" si="15"/>
        <v>60.326086956521742</v>
      </c>
      <c r="M124" s="647"/>
      <c r="N124" s="648">
        <f t="shared" si="20"/>
        <v>60.326086956521742</v>
      </c>
      <c r="O124" s="495"/>
    </row>
    <row r="125" spans="2:15">
      <c r="B125" s="640" t="s">
        <v>1713</v>
      </c>
      <c r="C125" s="641"/>
      <c r="D125" s="641" t="s">
        <v>1703</v>
      </c>
      <c r="E125" s="756"/>
      <c r="F125" s="641" t="s">
        <v>1711</v>
      </c>
      <c r="G125" s="642">
        <v>1</v>
      </c>
      <c r="H125" s="643">
        <v>162.80000000000001</v>
      </c>
      <c r="I125" s="644">
        <f t="shared" si="14"/>
        <v>9.9632802937576499E-3</v>
      </c>
      <c r="J125" s="645">
        <v>0.99</v>
      </c>
      <c r="K125" s="641" t="s">
        <v>1286</v>
      </c>
      <c r="L125" s="646">
        <f t="shared" si="15"/>
        <v>164.44444444444446</v>
      </c>
      <c r="M125" s="647"/>
      <c r="N125" s="648">
        <f t="shared" si="20"/>
        <v>164.44444444444446</v>
      </c>
      <c r="O125" s="495"/>
    </row>
    <row r="126" spans="2:15">
      <c r="B126" s="640" t="s">
        <v>1714</v>
      </c>
      <c r="C126" s="641"/>
      <c r="D126" s="641" t="s">
        <v>1704</v>
      </c>
      <c r="E126" s="756"/>
      <c r="F126" s="641" t="s">
        <v>1711</v>
      </c>
      <c r="G126" s="642">
        <v>1</v>
      </c>
      <c r="H126" s="643">
        <v>156.99</v>
      </c>
      <c r="I126" s="644"/>
      <c r="J126" s="645">
        <v>0.99</v>
      </c>
      <c r="K126" s="641" t="s">
        <v>1286</v>
      </c>
      <c r="L126" s="646">
        <f t="shared" ref="L126:L134" si="21">IFERROR(H126/G126/J126,"-")</f>
        <v>158.57575757575759</v>
      </c>
      <c r="M126" s="647"/>
      <c r="N126" s="648">
        <f t="shared" ref="N126:N134" si="22">IFERROR(L126*(1+M126),"-")</f>
        <v>158.57575757575759</v>
      </c>
      <c r="O126" s="495"/>
    </row>
    <row r="127" spans="2:15">
      <c r="B127" s="640" t="s">
        <v>1715</v>
      </c>
      <c r="C127" s="641"/>
      <c r="D127" s="641" t="s">
        <v>1705</v>
      </c>
      <c r="E127" s="756"/>
      <c r="F127" s="641" t="s">
        <v>1711</v>
      </c>
      <c r="G127" s="642">
        <v>1</v>
      </c>
      <c r="H127" s="643">
        <v>103.6</v>
      </c>
      <c r="I127" s="644"/>
      <c r="J127" s="645">
        <v>0.99</v>
      </c>
      <c r="K127" s="641" t="s">
        <v>1286</v>
      </c>
      <c r="L127" s="646">
        <f t="shared" si="21"/>
        <v>104.64646464646464</v>
      </c>
      <c r="M127" s="647"/>
      <c r="N127" s="648">
        <f t="shared" si="22"/>
        <v>104.64646464646464</v>
      </c>
      <c r="O127" s="495"/>
    </row>
    <row r="128" spans="2:15">
      <c r="B128" s="640" t="s">
        <v>1716</v>
      </c>
      <c r="C128" s="641"/>
      <c r="D128" s="641" t="s">
        <v>1706</v>
      </c>
      <c r="E128" s="756"/>
      <c r="F128" s="641" t="s">
        <v>1711</v>
      </c>
      <c r="G128" s="642">
        <v>1</v>
      </c>
      <c r="H128" s="643">
        <v>103.6</v>
      </c>
      <c r="I128" s="644"/>
      <c r="J128" s="645">
        <v>0.99</v>
      </c>
      <c r="K128" s="641" t="s">
        <v>1286</v>
      </c>
      <c r="L128" s="646">
        <f t="shared" si="21"/>
        <v>104.64646464646464</v>
      </c>
      <c r="M128" s="647"/>
      <c r="N128" s="648">
        <f t="shared" si="22"/>
        <v>104.64646464646464</v>
      </c>
      <c r="O128" s="495"/>
    </row>
    <row r="129" spans="2:16">
      <c r="B129" s="640" t="s">
        <v>1717</v>
      </c>
      <c r="C129" s="641"/>
      <c r="D129" s="641" t="s">
        <v>1707</v>
      </c>
      <c r="E129" s="756"/>
      <c r="F129" s="641" t="s">
        <v>1711</v>
      </c>
      <c r="G129" s="642">
        <v>1</v>
      </c>
      <c r="H129" s="643">
        <v>103.6</v>
      </c>
      <c r="I129" s="644"/>
      <c r="J129" s="645">
        <v>0.99</v>
      </c>
      <c r="K129" s="641" t="s">
        <v>1286</v>
      </c>
      <c r="L129" s="646">
        <f t="shared" si="21"/>
        <v>104.64646464646464</v>
      </c>
      <c r="M129" s="647"/>
      <c r="N129" s="648">
        <f t="shared" si="22"/>
        <v>104.64646464646464</v>
      </c>
      <c r="O129" s="495"/>
    </row>
    <row r="130" spans="2:16">
      <c r="B130" s="640" t="s">
        <v>1718</v>
      </c>
      <c r="C130" s="641"/>
      <c r="D130" s="641" t="s">
        <v>1708</v>
      </c>
      <c r="E130" s="756"/>
      <c r="F130" s="641" t="s">
        <v>1711</v>
      </c>
      <c r="G130" s="642">
        <v>1</v>
      </c>
      <c r="H130" s="643">
        <v>156.99</v>
      </c>
      <c r="I130" s="644"/>
      <c r="J130" s="645">
        <v>0.99</v>
      </c>
      <c r="K130" s="641" t="s">
        <v>1286</v>
      </c>
      <c r="L130" s="646">
        <f t="shared" si="21"/>
        <v>158.57575757575759</v>
      </c>
      <c r="M130" s="647"/>
      <c r="N130" s="648">
        <f t="shared" si="22"/>
        <v>158.57575757575759</v>
      </c>
      <c r="O130" s="495"/>
    </row>
    <row r="131" spans="2:16">
      <c r="B131" s="640" t="s">
        <v>1719</v>
      </c>
      <c r="C131" s="641"/>
      <c r="D131" s="641" t="s">
        <v>1709</v>
      </c>
      <c r="E131" s="756"/>
      <c r="F131" s="641" t="s">
        <v>1711</v>
      </c>
      <c r="G131" s="642">
        <v>1</v>
      </c>
      <c r="H131" s="643">
        <v>103.6</v>
      </c>
      <c r="I131" s="644"/>
      <c r="J131" s="645">
        <v>0.99</v>
      </c>
      <c r="K131" s="641" t="s">
        <v>1286</v>
      </c>
      <c r="L131" s="646">
        <f t="shared" si="21"/>
        <v>104.64646464646464</v>
      </c>
      <c r="M131" s="647"/>
      <c r="N131" s="648">
        <f t="shared" si="22"/>
        <v>104.64646464646464</v>
      </c>
      <c r="O131" s="495"/>
    </row>
    <row r="132" spans="2:16">
      <c r="B132" s="640" t="s">
        <v>1731</v>
      </c>
      <c r="C132" s="641"/>
      <c r="D132" s="641" t="s">
        <v>1732</v>
      </c>
      <c r="E132" s="756"/>
      <c r="F132" s="641" t="s">
        <v>1733</v>
      </c>
      <c r="G132" s="642">
        <v>1</v>
      </c>
      <c r="H132" s="643">
        <v>4647.92</v>
      </c>
      <c r="I132" s="644"/>
      <c r="J132" s="645">
        <v>1</v>
      </c>
      <c r="K132" s="641" t="s">
        <v>1734</v>
      </c>
      <c r="L132" s="646">
        <f t="shared" si="21"/>
        <v>4647.92</v>
      </c>
      <c r="M132" s="647"/>
      <c r="N132" s="648">
        <f t="shared" si="22"/>
        <v>4647.92</v>
      </c>
      <c r="O132" s="495"/>
    </row>
    <row r="133" spans="2:16">
      <c r="B133" s="640" t="s">
        <v>1745</v>
      </c>
      <c r="C133" s="641"/>
      <c r="D133" s="641" t="s">
        <v>1746</v>
      </c>
      <c r="E133" s="756"/>
      <c r="F133" s="641" t="s">
        <v>1053</v>
      </c>
      <c r="G133" s="642">
        <v>1</v>
      </c>
      <c r="H133" s="643">
        <v>1958.33</v>
      </c>
      <c r="I133" s="644"/>
      <c r="J133" s="645">
        <v>1</v>
      </c>
      <c r="K133" s="641" t="s">
        <v>659</v>
      </c>
      <c r="L133" s="646">
        <f t="shared" si="21"/>
        <v>1958.33</v>
      </c>
      <c r="M133" s="647"/>
      <c r="N133" s="648">
        <f t="shared" si="22"/>
        <v>1958.33</v>
      </c>
      <c r="O133" s="495"/>
    </row>
    <row r="134" spans="2:16">
      <c r="B134" s="640" t="s">
        <v>1747</v>
      </c>
      <c r="C134" s="641"/>
      <c r="D134" s="641" t="s">
        <v>1748</v>
      </c>
      <c r="E134" s="756"/>
      <c r="F134" s="641" t="s">
        <v>1749</v>
      </c>
      <c r="G134" s="642">
        <v>120</v>
      </c>
      <c r="H134" s="643">
        <v>45000</v>
      </c>
      <c r="I134" s="644"/>
      <c r="J134" s="645">
        <v>1</v>
      </c>
      <c r="K134" s="641" t="s">
        <v>61</v>
      </c>
      <c r="L134" s="646">
        <f t="shared" si="21"/>
        <v>375</v>
      </c>
      <c r="M134" s="647"/>
      <c r="N134" s="648">
        <f t="shared" si="22"/>
        <v>375</v>
      </c>
      <c r="O134" s="495"/>
    </row>
    <row r="135" spans="2:16">
      <c r="B135" s="640" t="s">
        <v>1751</v>
      </c>
      <c r="C135" s="641"/>
      <c r="D135" s="641" t="s">
        <v>1750</v>
      </c>
      <c r="E135" s="756"/>
      <c r="F135" s="641" t="s">
        <v>869</v>
      </c>
      <c r="G135" s="642">
        <v>500</v>
      </c>
      <c r="H135" s="643">
        <v>60300</v>
      </c>
      <c r="I135" s="644"/>
      <c r="J135" s="645">
        <v>1</v>
      </c>
      <c r="K135" s="641" t="s">
        <v>61</v>
      </c>
      <c r="L135" s="646">
        <f>IFERROR(H135/G135/J135,"-")</f>
        <v>120.6</v>
      </c>
      <c r="M135" s="647"/>
      <c r="N135" s="648">
        <f>IFERROR(L135*(1+M135),"-")</f>
        <v>120.6</v>
      </c>
      <c r="O135" s="495"/>
    </row>
    <row r="136" spans="2:16">
      <c r="B136" s="640" t="s">
        <v>1765</v>
      </c>
      <c r="C136" s="641"/>
      <c r="D136" s="641" t="s">
        <v>1623</v>
      </c>
      <c r="E136" s="756"/>
      <c r="F136" s="641" t="s">
        <v>1766</v>
      </c>
      <c r="G136" s="642">
        <v>65</v>
      </c>
      <c r="H136" s="643">
        <v>2287.5</v>
      </c>
      <c r="I136" s="644"/>
      <c r="J136" s="645">
        <v>1</v>
      </c>
      <c r="K136" s="641" t="s">
        <v>1286</v>
      </c>
      <c r="L136" s="646">
        <f>IFERROR(H136/G136/J136,"-")</f>
        <v>35.192307692307693</v>
      </c>
      <c r="M136" s="647"/>
      <c r="N136" s="648">
        <f>IFERROR(L136*(1+M136),"-")</f>
        <v>35.192307692307693</v>
      </c>
      <c r="O136" s="495"/>
    </row>
    <row r="137" spans="2:16">
      <c r="B137" s="640" t="s">
        <v>1891</v>
      </c>
      <c r="C137" s="641"/>
      <c r="D137" s="641" t="s">
        <v>1892</v>
      </c>
      <c r="E137" s="756"/>
      <c r="F137" s="641" t="s">
        <v>1893</v>
      </c>
      <c r="G137" s="642">
        <v>250</v>
      </c>
      <c r="H137" s="643">
        <v>1750</v>
      </c>
      <c r="I137" s="644"/>
      <c r="J137" s="645">
        <v>1</v>
      </c>
      <c r="K137" s="641" t="s">
        <v>1286</v>
      </c>
      <c r="L137" s="646">
        <f>IFERROR(H137/G137/J137,"-")</f>
        <v>7</v>
      </c>
      <c r="M137" s="647"/>
      <c r="N137" s="648">
        <f>IFERROR(L137*(1+M137),"-")</f>
        <v>7</v>
      </c>
      <c r="O137" s="495"/>
    </row>
    <row r="138" spans="2:16">
      <c r="B138" s="596" t="s">
        <v>724</v>
      </c>
      <c r="C138" s="555" t="s">
        <v>473</v>
      </c>
      <c r="D138" s="555" t="s">
        <v>486</v>
      </c>
      <c r="E138" s="760"/>
      <c r="F138" s="555" t="s">
        <v>994</v>
      </c>
      <c r="G138" s="597">
        <v>1000</v>
      </c>
      <c r="H138" s="598">
        <v>35000</v>
      </c>
      <c r="I138" s="599">
        <f t="shared" ref="I138:I151" si="23">H138/$I$3</f>
        <v>2.1419828641370868</v>
      </c>
      <c r="J138" s="600">
        <v>0.75</v>
      </c>
      <c r="K138" s="555" t="s">
        <v>61</v>
      </c>
      <c r="L138" s="602">
        <f t="shared" si="15"/>
        <v>46.666666666666664</v>
      </c>
      <c r="M138" s="761"/>
      <c r="N138" s="603">
        <f t="shared" ref="N138:N145" si="24">IFERROR(L138*(1+M138),"-")</f>
        <v>46.666666666666664</v>
      </c>
      <c r="O138" s="495"/>
    </row>
    <row r="139" spans="2:16" ht="18" customHeight="1">
      <c r="B139" s="596" t="s">
        <v>914</v>
      </c>
      <c r="C139" s="555" t="s">
        <v>852</v>
      </c>
      <c r="D139" s="555" t="s">
        <v>853</v>
      </c>
      <c r="E139" s="760"/>
      <c r="F139" s="555" t="s">
        <v>1249</v>
      </c>
      <c r="G139" s="597">
        <v>360</v>
      </c>
      <c r="H139" s="598">
        <v>150017</v>
      </c>
      <c r="I139" s="599">
        <f t="shared" si="23"/>
        <v>9.1809669522643826</v>
      </c>
      <c r="J139" s="600">
        <v>1</v>
      </c>
      <c r="K139" s="555" t="s">
        <v>61</v>
      </c>
      <c r="L139" s="602">
        <f t="shared" si="15"/>
        <v>416.7138888888889</v>
      </c>
      <c r="M139" s="761"/>
      <c r="N139" s="603">
        <f t="shared" si="24"/>
        <v>416.7138888888889</v>
      </c>
      <c r="O139" s="495"/>
    </row>
    <row r="140" spans="2:16">
      <c r="B140" s="596" t="s">
        <v>784</v>
      </c>
      <c r="C140" s="555" t="s">
        <v>478</v>
      </c>
      <c r="D140" s="555" t="s">
        <v>491</v>
      </c>
      <c r="E140" s="760"/>
      <c r="F140" s="555" t="s">
        <v>1721</v>
      </c>
      <c r="G140" s="597">
        <v>1</v>
      </c>
      <c r="H140" s="598">
        <v>3885</v>
      </c>
      <c r="I140" s="599">
        <f t="shared" si="23"/>
        <v>0.23776009791921665</v>
      </c>
      <c r="J140" s="600">
        <v>1</v>
      </c>
      <c r="K140" s="555" t="s">
        <v>1690</v>
      </c>
      <c r="L140" s="602">
        <f t="shared" si="15"/>
        <v>3885</v>
      </c>
      <c r="M140" s="761"/>
      <c r="N140" s="603">
        <f t="shared" si="24"/>
        <v>3885</v>
      </c>
      <c r="O140" s="495"/>
    </row>
    <row r="141" spans="2:16">
      <c r="B141" s="596" t="s">
        <v>1045</v>
      </c>
      <c r="C141" s="555" t="s">
        <v>1298</v>
      </c>
      <c r="D141" s="555" t="s">
        <v>1300</v>
      </c>
      <c r="E141" s="760"/>
      <c r="F141" s="555" t="s">
        <v>994</v>
      </c>
      <c r="G141" s="597">
        <v>1000</v>
      </c>
      <c r="H141" s="598">
        <v>67381.16</v>
      </c>
      <c r="I141" s="599">
        <f t="shared" si="23"/>
        <v>4.1236940024479809</v>
      </c>
      <c r="J141" s="600">
        <v>1</v>
      </c>
      <c r="K141" s="555" t="s">
        <v>61</v>
      </c>
      <c r="L141" s="602">
        <f t="shared" si="15"/>
        <v>67.381160000000008</v>
      </c>
      <c r="M141" s="761"/>
      <c r="N141" s="603">
        <f t="shared" si="24"/>
        <v>67.381160000000008</v>
      </c>
      <c r="O141" s="495"/>
    </row>
    <row r="142" spans="2:16">
      <c r="B142" s="596" t="s">
        <v>1147</v>
      </c>
      <c r="C142" s="555" t="s">
        <v>1299</v>
      </c>
      <c r="D142" s="555" t="s">
        <v>1301</v>
      </c>
      <c r="E142" s="760"/>
      <c r="F142" s="555" t="s">
        <v>994</v>
      </c>
      <c r="G142" s="597">
        <v>1000</v>
      </c>
      <c r="H142" s="598">
        <v>82140</v>
      </c>
      <c r="I142" s="599">
        <f t="shared" si="23"/>
        <v>5.0269277845777234</v>
      </c>
      <c r="J142" s="600">
        <v>1</v>
      </c>
      <c r="K142" s="555" t="s">
        <v>61</v>
      </c>
      <c r="L142" s="602">
        <f t="shared" si="15"/>
        <v>82.14</v>
      </c>
      <c r="M142" s="761"/>
      <c r="N142" s="603">
        <f t="shared" si="24"/>
        <v>82.14</v>
      </c>
      <c r="O142" s="495"/>
      <c r="P142" s="672"/>
    </row>
    <row r="143" spans="2:16">
      <c r="B143" s="596" t="s">
        <v>1044</v>
      </c>
      <c r="C143" s="555" t="s">
        <v>1037</v>
      </c>
      <c r="D143" s="596" t="s">
        <v>1038</v>
      </c>
      <c r="E143" s="760"/>
      <c r="F143" s="555" t="s">
        <v>1160</v>
      </c>
      <c r="G143" s="597">
        <v>470</v>
      </c>
      <c r="H143" s="598">
        <v>34500</v>
      </c>
      <c r="I143" s="599">
        <f t="shared" si="23"/>
        <v>2.1113831089351285</v>
      </c>
      <c r="J143" s="600">
        <v>1</v>
      </c>
      <c r="K143" s="555" t="s">
        <v>1030</v>
      </c>
      <c r="L143" s="602">
        <f t="shared" si="15"/>
        <v>73.40425531914893</v>
      </c>
      <c r="M143" s="761"/>
      <c r="N143" s="603">
        <f t="shared" si="24"/>
        <v>73.40425531914893</v>
      </c>
      <c r="O143" s="495" t="s">
        <v>1725</v>
      </c>
    </row>
    <row r="144" spans="2:16">
      <c r="B144" s="596" t="s">
        <v>1773</v>
      </c>
      <c r="C144" s="555" t="s">
        <v>1148</v>
      </c>
      <c r="D144" s="596" t="s">
        <v>1149</v>
      </c>
      <c r="E144" s="760"/>
      <c r="F144" s="555" t="s">
        <v>869</v>
      </c>
      <c r="G144" s="597">
        <v>500</v>
      </c>
      <c r="H144" s="598">
        <v>53499.95</v>
      </c>
      <c r="I144" s="599">
        <f t="shared" si="23"/>
        <v>3.2741707466340269</v>
      </c>
      <c r="J144" s="600">
        <v>1</v>
      </c>
      <c r="K144" s="555" t="s">
        <v>61</v>
      </c>
      <c r="L144" s="602">
        <f t="shared" si="15"/>
        <v>106.9999</v>
      </c>
      <c r="M144" s="761"/>
      <c r="N144" s="603">
        <f t="shared" si="24"/>
        <v>106.9999</v>
      </c>
      <c r="O144" s="495" t="s">
        <v>1726</v>
      </c>
    </row>
    <row r="145" spans="2:15">
      <c r="B145" s="764" t="s">
        <v>1805</v>
      </c>
      <c r="C145" s="765"/>
      <c r="D145" s="764" t="s">
        <v>1772</v>
      </c>
      <c r="E145" s="766"/>
      <c r="F145" s="765" t="s">
        <v>869</v>
      </c>
      <c r="G145" s="767">
        <v>500</v>
      </c>
      <c r="H145" s="768">
        <v>25000</v>
      </c>
      <c r="I145" s="769">
        <f t="shared" si="23"/>
        <v>1.5299877600979193</v>
      </c>
      <c r="J145" s="770">
        <v>1</v>
      </c>
      <c r="K145" s="765" t="s">
        <v>61</v>
      </c>
      <c r="L145" s="771">
        <f t="shared" si="15"/>
        <v>50</v>
      </c>
      <c r="M145" s="772"/>
      <c r="N145" s="773">
        <f t="shared" si="24"/>
        <v>50</v>
      </c>
      <c r="O145" s="495"/>
    </row>
    <row r="146" spans="2:15">
      <c r="B146" s="631" t="s">
        <v>525</v>
      </c>
      <c r="C146" s="632" t="s">
        <v>505</v>
      </c>
      <c r="D146" s="632" t="s">
        <v>547</v>
      </c>
      <c r="E146" s="655"/>
      <c r="F146" s="632" t="s">
        <v>1070</v>
      </c>
      <c r="G146" s="638">
        <v>150</v>
      </c>
      <c r="H146" s="639">
        <v>3328.15</v>
      </c>
      <c r="I146" s="633">
        <f t="shared" si="23"/>
        <v>0.20368115055079561</v>
      </c>
      <c r="J146" s="634">
        <v>1</v>
      </c>
      <c r="K146" s="632" t="s">
        <v>659</v>
      </c>
      <c r="L146" s="635">
        <f t="shared" si="15"/>
        <v>22.187666666666669</v>
      </c>
      <c r="M146" s="636"/>
      <c r="N146" s="637">
        <f t="shared" ref="N146:N167" si="25">IFERROR(L146*(1+M146),"-")</f>
        <v>22.187666666666669</v>
      </c>
      <c r="O146" s="495"/>
    </row>
    <row r="147" spans="2:15">
      <c r="B147" s="631" t="s">
        <v>526</v>
      </c>
      <c r="C147" s="632" t="s">
        <v>506</v>
      </c>
      <c r="D147" s="632" t="s">
        <v>548</v>
      </c>
      <c r="E147" s="655"/>
      <c r="F147" s="632" t="s">
        <v>1053</v>
      </c>
      <c r="G147" s="638">
        <v>1</v>
      </c>
      <c r="H147" s="639">
        <v>190</v>
      </c>
      <c r="I147" s="633">
        <f t="shared" si="23"/>
        <v>1.1627906976744186E-2</v>
      </c>
      <c r="J147" s="634">
        <v>1</v>
      </c>
      <c r="K147" s="632" t="s">
        <v>659</v>
      </c>
      <c r="L147" s="635">
        <f t="shared" si="15"/>
        <v>190</v>
      </c>
      <c r="M147" s="636"/>
      <c r="N147" s="637">
        <f t="shared" si="25"/>
        <v>190</v>
      </c>
      <c r="O147" s="495"/>
    </row>
    <row r="148" spans="2:15">
      <c r="B148" s="631" t="s">
        <v>527</v>
      </c>
      <c r="C148" s="632" t="s">
        <v>507</v>
      </c>
      <c r="D148" s="632" t="s">
        <v>549</v>
      </c>
      <c r="E148" s="655"/>
      <c r="F148" s="632" t="s">
        <v>1071</v>
      </c>
      <c r="G148" s="638">
        <v>100</v>
      </c>
      <c r="H148" s="639">
        <v>19900</v>
      </c>
      <c r="I148" s="633">
        <f t="shared" si="23"/>
        <v>1.2178702570379436</v>
      </c>
      <c r="J148" s="634">
        <v>1</v>
      </c>
      <c r="K148" s="632" t="s">
        <v>659</v>
      </c>
      <c r="L148" s="635">
        <f t="shared" si="15"/>
        <v>199</v>
      </c>
      <c r="M148" s="636"/>
      <c r="N148" s="637">
        <f t="shared" si="25"/>
        <v>199</v>
      </c>
      <c r="O148" s="495"/>
    </row>
    <row r="149" spans="2:15">
      <c r="B149" s="631" t="s">
        <v>528</v>
      </c>
      <c r="C149" s="632" t="s">
        <v>508</v>
      </c>
      <c r="D149" s="632" t="s">
        <v>550</v>
      </c>
      <c r="E149" s="655"/>
      <c r="F149" s="632" t="s">
        <v>1053</v>
      </c>
      <c r="G149" s="638">
        <v>1</v>
      </c>
      <c r="H149" s="639">
        <v>190</v>
      </c>
      <c r="I149" s="633">
        <f t="shared" si="23"/>
        <v>1.1627906976744186E-2</v>
      </c>
      <c r="J149" s="634">
        <v>1</v>
      </c>
      <c r="K149" s="632" t="s">
        <v>659</v>
      </c>
      <c r="L149" s="635">
        <f t="shared" si="15"/>
        <v>190</v>
      </c>
      <c r="M149" s="636"/>
      <c r="N149" s="637">
        <f t="shared" si="25"/>
        <v>190</v>
      </c>
      <c r="O149" s="495"/>
    </row>
    <row r="150" spans="2:15">
      <c r="B150" s="631" t="s">
        <v>534</v>
      </c>
      <c r="C150" s="632" t="s">
        <v>514</v>
      </c>
      <c r="D150" s="632" t="s">
        <v>1701</v>
      </c>
      <c r="E150" s="655"/>
      <c r="F150" s="632" t="s">
        <v>1053</v>
      </c>
      <c r="G150" s="638">
        <v>1</v>
      </c>
      <c r="H150" s="637">
        <v>535</v>
      </c>
      <c r="I150" s="633">
        <f t="shared" si="23"/>
        <v>3.2741738066095469E-2</v>
      </c>
      <c r="J150" s="634">
        <v>1</v>
      </c>
      <c r="K150" s="632" t="s">
        <v>659</v>
      </c>
      <c r="L150" s="635">
        <f t="shared" si="15"/>
        <v>535</v>
      </c>
      <c r="M150" s="636"/>
      <c r="N150" s="637">
        <f t="shared" si="25"/>
        <v>535</v>
      </c>
      <c r="O150" s="495"/>
    </row>
    <row r="151" spans="2:15">
      <c r="B151" s="631" t="s">
        <v>1047</v>
      </c>
      <c r="C151" s="632" t="s">
        <v>1048</v>
      </c>
      <c r="D151" s="632" t="s">
        <v>1049</v>
      </c>
      <c r="E151" s="655"/>
      <c r="F151" s="632" t="s">
        <v>1050</v>
      </c>
      <c r="G151" s="638">
        <v>1</v>
      </c>
      <c r="H151" s="637">
        <v>1204</v>
      </c>
      <c r="I151" s="633">
        <f t="shared" si="23"/>
        <v>7.3684210526315783E-2</v>
      </c>
      <c r="J151" s="634">
        <v>1</v>
      </c>
      <c r="K151" s="632" t="s">
        <v>659</v>
      </c>
      <c r="L151" s="635">
        <f t="shared" ref="L151:L167" si="26">IFERROR(H151/G151/J151,"-")</f>
        <v>1204</v>
      </c>
      <c r="M151" s="649"/>
      <c r="N151" s="637">
        <f t="shared" si="25"/>
        <v>1204</v>
      </c>
      <c r="O151" s="495"/>
    </row>
    <row r="152" spans="2:15">
      <c r="B152" s="631" t="s">
        <v>1072</v>
      </c>
      <c r="C152" s="632" t="s">
        <v>1051</v>
      </c>
      <c r="D152" s="632" t="s">
        <v>1674</v>
      </c>
      <c r="E152" s="655"/>
      <c r="F152" s="632" t="s">
        <v>1053</v>
      </c>
      <c r="G152" s="638">
        <v>1</v>
      </c>
      <c r="H152" s="637">
        <v>1164</v>
      </c>
      <c r="I152" s="633">
        <f t="shared" ref="I152:I165" si="27">H152/$I$3</f>
        <v>7.1236230110159116E-2</v>
      </c>
      <c r="J152" s="634">
        <v>1</v>
      </c>
      <c r="K152" s="632" t="s">
        <v>659</v>
      </c>
      <c r="L152" s="635">
        <f t="shared" si="26"/>
        <v>1164</v>
      </c>
      <c r="M152" s="649"/>
      <c r="N152" s="637">
        <f t="shared" si="25"/>
        <v>1164</v>
      </c>
      <c r="O152" s="495"/>
    </row>
    <row r="153" spans="2:15">
      <c r="B153" s="631" t="s">
        <v>1073</v>
      </c>
      <c r="C153" s="632" t="s">
        <v>1320</v>
      </c>
      <c r="D153" s="632" t="s">
        <v>1321</v>
      </c>
      <c r="E153" s="655"/>
      <c r="F153" s="632" t="s">
        <v>1050</v>
      </c>
      <c r="G153" s="638">
        <v>1</v>
      </c>
      <c r="H153" s="637">
        <v>670</v>
      </c>
      <c r="I153" s="633">
        <f t="shared" si="27"/>
        <v>4.1003671970624232E-2</v>
      </c>
      <c r="J153" s="634">
        <v>1</v>
      </c>
      <c r="K153" s="632" t="s">
        <v>659</v>
      </c>
      <c r="L153" s="635">
        <f t="shared" si="26"/>
        <v>670</v>
      </c>
      <c r="M153" s="649"/>
      <c r="N153" s="637">
        <f t="shared" si="25"/>
        <v>670</v>
      </c>
      <c r="O153" s="495"/>
    </row>
    <row r="154" spans="2:15">
      <c r="B154" s="631" t="s">
        <v>1074</v>
      </c>
      <c r="C154" s="632" t="s">
        <v>1056</v>
      </c>
      <c r="D154" s="632" t="s">
        <v>1057</v>
      </c>
      <c r="E154" s="655"/>
      <c r="F154" s="632" t="s">
        <v>1053</v>
      </c>
      <c r="G154" s="638">
        <v>1</v>
      </c>
      <c r="H154" s="637">
        <v>720</v>
      </c>
      <c r="I154" s="633">
        <f t="shared" si="27"/>
        <v>4.4063647490820076E-2</v>
      </c>
      <c r="J154" s="634">
        <v>1</v>
      </c>
      <c r="K154" s="632" t="s">
        <v>659</v>
      </c>
      <c r="L154" s="635">
        <f t="shared" si="26"/>
        <v>720</v>
      </c>
      <c r="M154" s="649"/>
      <c r="N154" s="637">
        <f t="shared" si="25"/>
        <v>720</v>
      </c>
      <c r="O154" s="495"/>
    </row>
    <row r="155" spans="2:15">
      <c r="B155" s="631" t="s">
        <v>1076</v>
      </c>
      <c r="C155" s="632" t="s">
        <v>1060</v>
      </c>
      <c r="D155" s="632" t="s">
        <v>1061</v>
      </c>
      <c r="E155" s="655"/>
      <c r="F155" s="632" t="s">
        <v>1053</v>
      </c>
      <c r="G155" s="638">
        <v>1</v>
      </c>
      <c r="H155" s="637">
        <v>750</v>
      </c>
      <c r="I155" s="633">
        <f t="shared" si="27"/>
        <v>4.5899632802937573E-2</v>
      </c>
      <c r="J155" s="634">
        <v>1</v>
      </c>
      <c r="K155" s="632" t="s">
        <v>659</v>
      </c>
      <c r="L155" s="635">
        <f t="shared" si="26"/>
        <v>750</v>
      </c>
      <c r="M155" s="649"/>
      <c r="N155" s="637">
        <f t="shared" si="25"/>
        <v>750</v>
      </c>
      <c r="O155" s="495"/>
    </row>
    <row r="156" spans="2:15">
      <c r="B156" s="631" t="s">
        <v>1077</v>
      </c>
      <c r="C156" s="632" t="s">
        <v>1179</v>
      </c>
      <c r="D156" s="632" t="s">
        <v>1180</v>
      </c>
      <c r="E156" s="655"/>
      <c r="F156" s="632" t="s">
        <v>1053</v>
      </c>
      <c r="G156" s="638">
        <v>1</v>
      </c>
      <c r="H156" s="637">
        <v>200</v>
      </c>
      <c r="I156" s="633">
        <f t="shared" si="27"/>
        <v>1.2239902080783354E-2</v>
      </c>
      <c r="J156" s="634">
        <v>1</v>
      </c>
      <c r="K156" s="632" t="s">
        <v>659</v>
      </c>
      <c r="L156" s="635">
        <f t="shared" si="26"/>
        <v>200</v>
      </c>
      <c r="M156" s="649"/>
      <c r="N156" s="637">
        <f t="shared" si="25"/>
        <v>200</v>
      </c>
      <c r="O156" s="495"/>
    </row>
    <row r="157" spans="2:15">
      <c r="B157" s="631" t="s">
        <v>1078</v>
      </c>
      <c r="C157" s="632" t="s">
        <v>1062</v>
      </c>
      <c r="D157" s="632" t="s">
        <v>1063</v>
      </c>
      <c r="E157" s="655"/>
      <c r="F157" s="632"/>
      <c r="G157" s="638"/>
      <c r="H157" s="637"/>
      <c r="I157" s="633">
        <f t="shared" si="27"/>
        <v>0</v>
      </c>
      <c r="J157" s="634">
        <v>1</v>
      </c>
      <c r="K157" s="632" t="s">
        <v>659</v>
      </c>
      <c r="L157" s="635" t="str">
        <f t="shared" si="26"/>
        <v>-</v>
      </c>
      <c r="M157" s="649"/>
      <c r="N157" s="637" t="str">
        <f t="shared" si="25"/>
        <v>-</v>
      </c>
      <c r="O157" s="495"/>
    </row>
    <row r="158" spans="2:15">
      <c r="B158" s="631" t="s">
        <v>1079</v>
      </c>
      <c r="C158" s="632" t="s">
        <v>1064</v>
      </c>
      <c r="D158" s="632" t="s">
        <v>1676</v>
      </c>
      <c r="E158" s="655"/>
      <c r="F158" s="632" t="s">
        <v>1053</v>
      </c>
      <c r="G158" s="638">
        <v>1</v>
      </c>
      <c r="H158" s="637">
        <v>216.45</v>
      </c>
      <c r="I158" s="633">
        <f t="shared" si="27"/>
        <v>1.3246634026927783E-2</v>
      </c>
      <c r="J158" s="634">
        <v>1</v>
      </c>
      <c r="K158" s="632" t="s">
        <v>659</v>
      </c>
      <c r="L158" s="635">
        <f t="shared" si="26"/>
        <v>216.45</v>
      </c>
      <c r="M158" s="649"/>
      <c r="N158" s="637">
        <f t="shared" si="25"/>
        <v>216.45</v>
      </c>
      <c r="O158" s="495"/>
    </row>
    <row r="159" spans="2:15">
      <c r="B159" s="631" t="s">
        <v>1080</v>
      </c>
      <c r="C159" s="632" t="s">
        <v>1066</v>
      </c>
      <c r="D159" s="632" t="s">
        <v>1067</v>
      </c>
      <c r="E159" s="655"/>
      <c r="F159" s="632" t="s">
        <v>1053</v>
      </c>
      <c r="G159" s="638">
        <v>1</v>
      </c>
      <c r="H159" s="637">
        <v>1370</v>
      </c>
      <c r="I159" s="633">
        <f t="shared" si="27"/>
        <v>8.3843329253365975E-2</v>
      </c>
      <c r="J159" s="634">
        <v>1</v>
      </c>
      <c r="K159" s="632" t="s">
        <v>659</v>
      </c>
      <c r="L159" s="635">
        <f t="shared" si="26"/>
        <v>1370</v>
      </c>
      <c r="M159" s="649"/>
      <c r="N159" s="637">
        <f t="shared" si="25"/>
        <v>1370</v>
      </c>
      <c r="O159" s="495"/>
    </row>
    <row r="160" spans="2:15">
      <c r="B160" s="631" t="s">
        <v>1081</v>
      </c>
      <c r="C160" s="632" t="s">
        <v>1068</v>
      </c>
      <c r="D160" s="632" t="s">
        <v>1069</v>
      </c>
      <c r="E160" s="655"/>
      <c r="F160" s="632" t="s">
        <v>1053</v>
      </c>
      <c r="G160" s="638">
        <v>1</v>
      </c>
      <c r="H160" s="637">
        <v>1700</v>
      </c>
      <c r="I160" s="633">
        <f t="shared" si="27"/>
        <v>0.10403916768665851</v>
      </c>
      <c r="J160" s="634">
        <v>1</v>
      </c>
      <c r="K160" s="632" t="s">
        <v>659</v>
      </c>
      <c r="L160" s="635">
        <f t="shared" si="26"/>
        <v>1700</v>
      </c>
      <c r="M160" s="649"/>
      <c r="N160" s="637">
        <f t="shared" si="25"/>
        <v>1700</v>
      </c>
      <c r="O160" s="495"/>
    </row>
    <row r="161" spans="2:15">
      <c r="B161" s="631" t="s">
        <v>1176</v>
      </c>
      <c r="C161" s="632" t="s">
        <v>1177</v>
      </c>
      <c r="D161" s="631" t="s">
        <v>1675</v>
      </c>
      <c r="E161" s="762"/>
      <c r="F161" s="631" t="s">
        <v>1053</v>
      </c>
      <c r="G161" s="650">
        <v>1</v>
      </c>
      <c r="H161" s="669">
        <v>428</v>
      </c>
      <c r="I161" s="651">
        <f t="shared" si="27"/>
        <v>2.6193390452876376E-2</v>
      </c>
      <c r="J161" s="634">
        <v>1</v>
      </c>
      <c r="K161" s="632" t="s">
        <v>659</v>
      </c>
      <c r="L161" s="652">
        <f t="shared" si="26"/>
        <v>428</v>
      </c>
      <c r="M161" s="649"/>
      <c r="N161" s="637">
        <f t="shared" si="25"/>
        <v>428</v>
      </c>
      <c r="O161" s="495"/>
    </row>
    <row r="162" spans="2:15">
      <c r="B162" s="631" t="s">
        <v>1182</v>
      </c>
      <c r="C162" s="632" t="s">
        <v>1181</v>
      </c>
      <c r="D162" s="632" t="s">
        <v>1672</v>
      </c>
      <c r="E162" s="762"/>
      <c r="F162" s="631" t="s">
        <v>1053</v>
      </c>
      <c r="G162" s="650">
        <v>1</v>
      </c>
      <c r="H162" s="669">
        <v>1164</v>
      </c>
      <c r="I162" s="651">
        <f t="shared" si="27"/>
        <v>7.1236230110159116E-2</v>
      </c>
      <c r="J162" s="634">
        <v>1</v>
      </c>
      <c r="K162" s="632" t="s">
        <v>659</v>
      </c>
      <c r="L162" s="635">
        <f t="shared" si="26"/>
        <v>1164</v>
      </c>
      <c r="M162" s="649"/>
      <c r="N162" s="637">
        <f>IFERROR(L162*(1+M162),"-")</f>
        <v>1164</v>
      </c>
      <c r="O162" s="495"/>
    </row>
    <row r="163" spans="2:15">
      <c r="B163" s="631" t="s">
        <v>1184</v>
      </c>
      <c r="C163" s="632" t="s">
        <v>1185</v>
      </c>
      <c r="D163" s="632" t="s">
        <v>1673</v>
      </c>
      <c r="E163" s="762"/>
      <c r="F163" s="631" t="s">
        <v>1053</v>
      </c>
      <c r="G163" s="650">
        <v>1</v>
      </c>
      <c r="H163" s="669">
        <v>428</v>
      </c>
      <c r="I163" s="651">
        <f t="shared" si="27"/>
        <v>2.6193390452876376E-2</v>
      </c>
      <c r="J163" s="634">
        <v>1</v>
      </c>
      <c r="K163" s="632" t="s">
        <v>659</v>
      </c>
      <c r="L163" s="635">
        <f t="shared" si="26"/>
        <v>428</v>
      </c>
      <c r="M163" s="649"/>
      <c r="N163" s="637">
        <f t="shared" si="25"/>
        <v>428</v>
      </c>
      <c r="O163" s="495"/>
    </row>
    <row r="164" spans="2:15">
      <c r="B164" s="631" t="s">
        <v>1214</v>
      </c>
      <c r="C164" s="632" t="s">
        <v>1212</v>
      </c>
      <c r="D164" s="632" t="s">
        <v>1735</v>
      </c>
      <c r="E164" s="762"/>
      <c r="F164" s="631" t="s">
        <v>1053</v>
      </c>
      <c r="G164" s="650">
        <v>1</v>
      </c>
      <c r="H164" s="669">
        <v>1428</v>
      </c>
      <c r="I164" s="651">
        <f t="shared" si="27"/>
        <v>8.7392900856793146E-2</v>
      </c>
      <c r="J164" s="634">
        <v>1</v>
      </c>
      <c r="K164" s="632" t="s">
        <v>659</v>
      </c>
      <c r="L164" s="653">
        <f t="shared" si="26"/>
        <v>1428</v>
      </c>
      <c r="M164" s="649"/>
      <c r="N164" s="637">
        <f t="shared" si="25"/>
        <v>1428</v>
      </c>
      <c r="O164" s="495"/>
    </row>
    <row r="165" spans="2:15">
      <c r="B165" s="631" t="s">
        <v>1217</v>
      </c>
      <c r="C165" s="632" t="s">
        <v>1215</v>
      </c>
      <c r="D165" s="654" t="s">
        <v>1216</v>
      </c>
      <c r="E165" s="762"/>
      <c r="F165" s="631" t="s">
        <v>1053</v>
      </c>
      <c r="G165" s="650">
        <v>1</v>
      </c>
      <c r="H165" s="669">
        <v>300</v>
      </c>
      <c r="I165" s="651">
        <f t="shared" si="27"/>
        <v>1.8359853121175031E-2</v>
      </c>
      <c r="J165" s="634">
        <v>1</v>
      </c>
      <c r="K165" s="632" t="s">
        <v>659</v>
      </c>
      <c r="L165" s="653">
        <f t="shared" si="26"/>
        <v>300</v>
      </c>
      <c r="M165" s="649"/>
      <c r="N165" s="637">
        <f t="shared" si="25"/>
        <v>300</v>
      </c>
      <c r="O165" s="495"/>
    </row>
    <row r="166" spans="2:15">
      <c r="B166" s="631" t="s">
        <v>1239</v>
      </c>
      <c r="C166" s="632" t="s">
        <v>1218</v>
      </c>
      <c r="D166" s="654" t="s">
        <v>1219</v>
      </c>
      <c r="E166" s="762"/>
      <c r="F166" s="631" t="s">
        <v>1053</v>
      </c>
      <c r="G166" s="650">
        <v>1</v>
      </c>
      <c r="H166" s="669">
        <v>208</v>
      </c>
      <c r="I166" s="651">
        <f>H166/$I$3</f>
        <v>1.2729498164014688E-2</v>
      </c>
      <c r="J166" s="634">
        <v>1</v>
      </c>
      <c r="K166" s="632" t="s">
        <v>659</v>
      </c>
      <c r="L166" s="653">
        <f t="shared" si="26"/>
        <v>208</v>
      </c>
      <c r="M166" s="649"/>
      <c r="N166" s="637">
        <f t="shared" si="25"/>
        <v>208</v>
      </c>
      <c r="O166" s="495"/>
    </row>
    <row r="167" spans="2:15">
      <c r="B167" s="632" t="s">
        <v>1240</v>
      </c>
      <c r="C167" s="632" t="s">
        <v>1220</v>
      </c>
      <c r="D167" s="632" t="s">
        <v>1221</v>
      </c>
      <c r="E167" s="655"/>
      <c r="F167" s="632" t="s">
        <v>1053</v>
      </c>
      <c r="G167" s="638">
        <v>1</v>
      </c>
      <c r="H167" s="637">
        <v>221</v>
      </c>
      <c r="I167" s="656">
        <f t="shared" ref="I167:I173" si="28">H167/$I$3</f>
        <v>1.3525091799265606E-2</v>
      </c>
      <c r="J167" s="634">
        <v>1</v>
      </c>
      <c r="K167" s="632" t="s">
        <v>659</v>
      </c>
      <c r="L167" s="653">
        <f t="shared" si="26"/>
        <v>221</v>
      </c>
      <c r="M167" s="634"/>
      <c r="N167" s="637">
        <f t="shared" si="25"/>
        <v>221</v>
      </c>
      <c r="O167" s="495"/>
    </row>
    <row r="168" spans="2:15">
      <c r="B168" s="632" t="s">
        <v>1335</v>
      </c>
      <c r="C168" s="655"/>
      <c r="D168" s="632" t="s">
        <v>1336</v>
      </c>
      <c r="E168" s="655"/>
      <c r="F168" s="632" t="s">
        <v>1053</v>
      </c>
      <c r="G168" s="638">
        <v>1</v>
      </c>
      <c r="H168" s="637">
        <v>1204</v>
      </c>
      <c r="I168" s="656">
        <f t="shared" si="28"/>
        <v>7.3684210526315783E-2</v>
      </c>
      <c r="J168" s="634">
        <v>1</v>
      </c>
      <c r="K168" s="632" t="s">
        <v>659</v>
      </c>
      <c r="L168" s="653">
        <f t="shared" ref="L168:L177" si="29">IFERROR(H168/G168/J168,"-")</f>
        <v>1204</v>
      </c>
      <c r="M168" s="634"/>
      <c r="N168" s="637">
        <f t="shared" ref="N168:N177" si="30">IFERROR(L168*(1+M168),"-")</f>
        <v>1204</v>
      </c>
    </row>
    <row r="169" spans="2:15">
      <c r="B169" s="632" t="s">
        <v>1337</v>
      </c>
      <c r="C169" s="655"/>
      <c r="D169" s="632" t="s">
        <v>1338</v>
      </c>
      <c r="E169" s="655"/>
      <c r="F169" s="632" t="s">
        <v>1053</v>
      </c>
      <c r="G169" s="638">
        <v>1</v>
      </c>
      <c r="H169" s="637">
        <v>1238</v>
      </c>
      <c r="I169" s="656">
        <f t="shared" si="28"/>
        <v>7.5764993880048953E-2</v>
      </c>
      <c r="J169" s="634">
        <v>1</v>
      </c>
      <c r="K169" s="632" t="s">
        <v>659</v>
      </c>
      <c r="L169" s="653">
        <f t="shared" si="29"/>
        <v>1238</v>
      </c>
      <c r="M169" s="634"/>
      <c r="N169" s="637">
        <f t="shared" si="30"/>
        <v>1238</v>
      </c>
    </row>
    <row r="170" spans="2:15">
      <c r="B170" s="631" t="s">
        <v>1341</v>
      </c>
      <c r="C170" s="655"/>
      <c r="D170" s="632" t="s">
        <v>1339</v>
      </c>
      <c r="E170" s="655"/>
      <c r="F170" s="632" t="s">
        <v>1053</v>
      </c>
      <c r="G170" s="638">
        <v>1</v>
      </c>
      <c r="H170" s="637">
        <v>600</v>
      </c>
      <c r="I170" s="656">
        <f t="shared" si="28"/>
        <v>3.6719706242350061E-2</v>
      </c>
      <c r="J170" s="634">
        <v>1</v>
      </c>
      <c r="K170" s="632" t="s">
        <v>659</v>
      </c>
      <c r="L170" s="653">
        <f t="shared" si="29"/>
        <v>600</v>
      </c>
      <c r="M170" s="634"/>
      <c r="N170" s="637">
        <f t="shared" si="30"/>
        <v>600</v>
      </c>
    </row>
    <row r="171" spans="2:15">
      <c r="B171" s="632" t="s">
        <v>1342</v>
      </c>
      <c r="C171" s="655"/>
      <c r="D171" s="632" t="s">
        <v>1340</v>
      </c>
      <c r="E171" s="655"/>
      <c r="F171" s="632" t="s">
        <v>1053</v>
      </c>
      <c r="G171" s="638">
        <v>1</v>
      </c>
      <c r="H171" s="637">
        <v>1800</v>
      </c>
      <c r="I171" s="656">
        <f t="shared" si="28"/>
        <v>0.11015911872705018</v>
      </c>
      <c r="J171" s="634">
        <v>1</v>
      </c>
      <c r="K171" s="632" t="s">
        <v>659</v>
      </c>
      <c r="L171" s="653">
        <f t="shared" si="29"/>
        <v>1800</v>
      </c>
      <c r="M171" s="634"/>
      <c r="N171" s="637">
        <f t="shared" si="30"/>
        <v>1800</v>
      </c>
    </row>
    <row r="172" spans="2:15">
      <c r="B172" s="631" t="s">
        <v>1384</v>
      </c>
      <c r="C172" s="762"/>
      <c r="D172" s="657" t="s">
        <v>1383</v>
      </c>
      <c r="E172" s="762"/>
      <c r="F172" s="631" t="s">
        <v>1053</v>
      </c>
      <c r="G172" s="650">
        <v>1</v>
      </c>
      <c r="H172" s="669">
        <v>200</v>
      </c>
      <c r="I172" s="651">
        <f t="shared" si="28"/>
        <v>1.2239902080783354E-2</v>
      </c>
      <c r="J172" s="649">
        <v>1</v>
      </c>
      <c r="K172" s="631" t="s">
        <v>659</v>
      </c>
      <c r="L172" s="653">
        <f t="shared" si="29"/>
        <v>200</v>
      </c>
      <c r="M172" s="634"/>
      <c r="N172" s="637">
        <f t="shared" si="30"/>
        <v>200</v>
      </c>
    </row>
    <row r="173" spans="2:15">
      <c r="B173" s="631" t="s">
        <v>1395</v>
      </c>
      <c r="C173" s="762"/>
      <c r="D173" s="657" t="s">
        <v>1394</v>
      </c>
      <c r="E173" s="762"/>
      <c r="F173" s="631" t="s">
        <v>1053</v>
      </c>
      <c r="G173" s="650">
        <v>1</v>
      </c>
      <c r="H173" s="669">
        <v>737</v>
      </c>
      <c r="I173" s="651">
        <f t="shared" si="28"/>
        <v>4.5104039167686662E-2</v>
      </c>
      <c r="J173" s="649">
        <v>1</v>
      </c>
      <c r="K173" s="631" t="s">
        <v>659</v>
      </c>
      <c r="L173" s="653">
        <f t="shared" si="29"/>
        <v>737</v>
      </c>
      <c r="M173" s="634"/>
      <c r="N173" s="637">
        <f t="shared" si="30"/>
        <v>737</v>
      </c>
    </row>
    <row r="174" spans="2:15">
      <c r="B174" s="631" t="s">
        <v>1670</v>
      </c>
      <c r="C174" s="762"/>
      <c r="D174" s="763" t="s">
        <v>1579</v>
      </c>
      <c r="E174" s="762"/>
      <c r="F174" s="631" t="s">
        <v>1053</v>
      </c>
      <c r="G174" s="650">
        <v>1</v>
      </c>
      <c r="H174" s="669">
        <v>720</v>
      </c>
      <c r="I174" s="651">
        <f>H174/$I$3</f>
        <v>4.4063647490820076E-2</v>
      </c>
      <c r="J174" s="649">
        <v>1</v>
      </c>
      <c r="K174" s="631" t="s">
        <v>659</v>
      </c>
      <c r="L174" s="653">
        <f t="shared" si="29"/>
        <v>720</v>
      </c>
      <c r="M174" s="634"/>
      <c r="N174" s="637">
        <f t="shared" si="30"/>
        <v>720</v>
      </c>
    </row>
    <row r="175" spans="2:15">
      <c r="B175" s="631" t="s">
        <v>1736</v>
      </c>
      <c r="C175" s="762"/>
      <c r="D175" s="763" t="s">
        <v>1586</v>
      </c>
      <c r="E175" s="762"/>
      <c r="F175" s="631" t="s">
        <v>1053</v>
      </c>
      <c r="G175" s="650">
        <v>1</v>
      </c>
      <c r="H175" s="669">
        <v>694</v>
      </c>
      <c r="I175" s="651">
        <f>H175/$I$3</f>
        <v>4.2472460220318239E-2</v>
      </c>
      <c r="J175" s="649">
        <v>1</v>
      </c>
      <c r="K175" s="631" t="s">
        <v>659</v>
      </c>
      <c r="L175" s="653">
        <f t="shared" si="29"/>
        <v>694</v>
      </c>
      <c r="M175" s="649"/>
      <c r="N175" s="637">
        <f t="shared" si="30"/>
        <v>694</v>
      </c>
    </row>
    <row r="176" spans="2:15">
      <c r="B176" s="631" t="s">
        <v>1737</v>
      </c>
      <c r="C176" s="762"/>
      <c r="D176" s="763" t="s">
        <v>1587</v>
      </c>
      <c r="E176" s="762"/>
      <c r="F176" s="631" t="s">
        <v>1053</v>
      </c>
      <c r="G176" s="650">
        <v>1</v>
      </c>
      <c r="H176" s="669">
        <v>375</v>
      </c>
      <c r="I176" s="651"/>
      <c r="J176" s="649">
        <v>1</v>
      </c>
      <c r="K176" s="631" t="s">
        <v>659</v>
      </c>
      <c r="L176" s="653">
        <f t="shared" si="29"/>
        <v>375</v>
      </c>
      <c r="M176" s="649"/>
      <c r="N176" s="637">
        <f t="shared" si="30"/>
        <v>375</v>
      </c>
    </row>
    <row r="177" spans="2:14">
      <c r="B177" s="631" t="s">
        <v>1738</v>
      </c>
      <c r="C177" s="762"/>
      <c r="D177" s="763" t="s">
        <v>1588</v>
      </c>
      <c r="E177" s="762"/>
      <c r="F177" s="631" t="s">
        <v>1053</v>
      </c>
      <c r="G177" s="650">
        <v>1</v>
      </c>
      <c r="H177" s="669">
        <v>443</v>
      </c>
      <c r="I177" s="651"/>
      <c r="J177" s="649">
        <v>1</v>
      </c>
      <c r="K177" s="631" t="s">
        <v>659</v>
      </c>
      <c r="L177" s="653">
        <f t="shared" si="29"/>
        <v>443</v>
      </c>
      <c r="M177" s="649"/>
      <c r="N177" s="637">
        <f t="shared" si="30"/>
        <v>443</v>
      </c>
    </row>
    <row r="178" spans="2:14">
      <c r="B178" s="631" t="s">
        <v>1743</v>
      </c>
      <c r="C178" s="762"/>
      <c r="D178" s="763" t="s">
        <v>1590</v>
      </c>
      <c r="E178" s="762"/>
      <c r="F178" s="631" t="s">
        <v>1053</v>
      </c>
      <c r="G178" s="650">
        <v>1</v>
      </c>
      <c r="H178" s="669">
        <v>208</v>
      </c>
      <c r="I178" s="651"/>
      <c r="J178" s="649">
        <v>1</v>
      </c>
      <c r="K178" s="631" t="s">
        <v>659</v>
      </c>
      <c r="L178" s="653">
        <f t="shared" ref="L178:L187" si="31">IFERROR(H178/G178/J178,"-")</f>
        <v>208</v>
      </c>
      <c r="M178" s="649"/>
      <c r="N178" s="637">
        <f t="shared" ref="N178:N187" si="32">IFERROR(L178*(1+M178),"-")</f>
        <v>208</v>
      </c>
    </row>
    <row r="179" spans="2:14">
      <c r="B179" s="631" t="s">
        <v>1744</v>
      </c>
      <c r="C179" s="762"/>
      <c r="D179" s="763" t="s">
        <v>1591</v>
      </c>
      <c r="E179" s="762"/>
      <c r="F179" s="631" t="s">
        <v>1053</v>
      </c>
      <c r="G179" s="650">
        <v>1</v>
      </c>
      <c r="H179" s="669">
        <v>300</v>
      </c>
      <c r="I179" s="651"/>
      <c r="J179" s="649">
        <v>1</v>
      </c>
      <c r="K179" s="631" t="s">
        <v>659</v>
      </c>
      <c r="L179" s="653">
        <f t="shared" si="31"/>
        <v>300</v>
      </c>
      <c r="M179" s="649"/>
      <c r="N179" s="637">
        <f t="shared" si="32"/>
        <v>300</v>
      </c>
    </row>
    <row r="180" spans="2:14">
      <c r="B180" s="631" t="s">
        <v>1754</v>
      </c>
      <c r="C180" s="762"/>
      <c r="D180" s="763" t="s">
        <v>1592</v>
      </c>
      <c r="E180" s="762"/>
      <c r="F180" s="631" t="s">
        <v>1053</v>
      </c>
      <c r="G180" s="650">
        <v>1</v>
      </c>
      <c r="H180" s="669">
        <v>3750</v>
      </c>
      <c r="I180" s="651"/>
      <c r="J180" s="649">
        <v>1</v>
      </c>
      <c r="K180" s="631" t="s">
        <v>659</v>
      </c>
      <c r="L180" s="653">
        <f t="shared" si="31"/>
        <v>3750</v>
      </c>
      <c r="M180" s="649"/>
      <c r="N180" s="637">
        <f t="shared" si="32"/>
        <v>3750</v>
      </c>
    </row>
    <row r="181" spans="2:14">
      <c r="B181" s="631" t="s">
        <v>1755</v>
      </c>
      <c r="C181" s="762"/>
      <c r="D181" s="763" t="s">
        <v>1593</v>
      </c>
      <c r="E181" s="762"/>
      <c r="F181" s="631" t="s">
        <v>1053</v>
      </c>
      <c r="G181" s="650">
        <v>1</v>
      </c>
      <c r="H181" s="669">
        <v>1700</v>
      </c>
      <c r="I181" s="651"/>
      <c r="J181" s="649">
        <v>1</v>
      </c>
      <c r="K181" s="631" t="s">
        <v>659</v>
      </c>
      <c r="L181" s="653">
        <f t="shared" si="31"/>
        <v>1700</v>
      </c>
      <c r="M181" s="649"/>
      <c r="N181" s="637">
        <f t="shared" si="32"/>
        <v>1700</v>
      </c>
    </row>
    <row r="182" spans="2:14">
      <c r="B182" s="631" t="s">
        <v>1756</v>
      </c>
      <c r="C182" s="762"/>
      <c r="D182" s="763" t="s">
        <v>1594</v>
      </c>
      <c r="E182" s="762"/>
      <c r="F182" s="631" t="s">
        <v>1053</v>
      </c>
      <c r="G182" s="650">
        <v>1</v>
      </c>
      <c r="H182" s="669">
        <v>1370</v>
      </c>
      <c r="I182" s="651"/>
      <c r="J182" s="649">
        <v>1</v>
      </c>
      <c r="K182" s="631" t="s">
        <v>659</v>
      </c>
      <c r="L182" s="653">
        <f t="shared" si="31"/>
        <v>1370</v>
      </c>
      <c r="M182" s="649"/>
      <c r="N182" s="637">
        <f t="shared" si="32"/>
        <v>1370</v>
      </c>
    </row>
    <row r="183" spans="2:14">
      <c r="B183" s="631" t="s">
        <v>1757</v>
      </c>
      <c r="C183" s="762"/>
      <c r="D183" s="763" t="s">
        <v>1596</v>
      </c>
      <c r="E183" s="762"/>
      <c r="F183" s="631" t="s">
        <v>1053</v>
      </c>
      <c r="G183" s="650">
        <v>1</v>
      </c>
      <c r="H183" s="669">
        <v>200</v>
      </c>
      <c r="I183" s="651"/>
      <c r="J183" s="649">
        <v>1</v>
      </c>
      <c r="K183" s="631" t="s">
        <v>659</v>
      </c>
      <c r="L183" s="653">
        <f t="shared" si="31"/>
        <v>200</v>
      </c>
      <c r="M183" s="649"/>
      <c r="N183" s="637">
        <f t="shared" si="32"/>
        <v>200</v>
      </c>
    </row>
    <row r="184" spans="2:14">
      <c r="B184" s="631" t="s">
        <v>1758</v>
      </c>
      <c r="C184" s="762"/>
      <c r="D184" s="763" t="s">
        <v>1759</v>
      </c>
      <c r="E184" s="762"/>
      <c r="F184" s="631" t="s">
        <v>1053</v>
      </c>
      <c r="G184" s="650">
        <v>1</v>
      </c>
      <c r="H184" s="669">
        <v>150</v>
      </c>
      <c r="I184" s="651"/>
      <c r="J184" s="649">
        <v>1</v>
      </c>
      <c r="K184" s="631" t="s">
        <v>659</v>
      </c>
      <c r="L184" s="653">
        <f t="shared" si="31"/>
        <v>150</v>
      </c>
      <c r="M184" s="649"/>
      <c r="N184" s="637">
        <f t="shared" si="32"/>
        <v>150</v>
      </c>
    </row>
    <row r="185" spans="2:14">
      <c r="B185" s="631" t="s">
        <v>1762</v>
      </c>
      <c r="C185" s="762"/>
      <c r="D185" s="763" t="s">
        <v>1598</v>
      </c>
      <c r="E185" s="762"/>
      <c r="F185" s="631" t="s">
        <v>1053</v>
      </c>
      <c r="G185" s="650">
        <v>1</v>
      </c>
      <c r="H185" s="669">
        <v>11.2</v>
      </c>
      <c r="I185" s="651"/>
      <c r="J185" s="649">
        <v>1</v>
      </c>
      <c r="K185" s="631" t="s">
        <v>659</v>
      </c>
      <c r="L185" s="653">
        <f t="shared" si="31"/>
        <v>11.2</v>
      </c>
      <c r="M185" s="649"/>
      <c r="N185" s="637">
        <f t="shared" si="32"/>
        <v>11.2</v>
      </c>
    </row>
    <row r="186" spans="2:14">
      <c r="B186" s="631" t="s">
        <v>1763</v>
      </c>
      <c r="C186" s="762"/>
      <c r="D186" s="763" t="s">
        <v>1599</v>
      </c>
      <c r="E186" s="762"/>
      <c r="F186" s="631" t="s">
        <v>1053</v>
      </c>
      <c r="G186" s="650">
        <v>1</v>
      </c>
      <c r="H186" s="669">
        <v>35</v>
      </c>
      <c r="I186" s="651"/>
      <c r="J186" s="649">
        <v>1</v>
      </c>
      <c r="K186" s="631" t="s">
        <v>659</v>
      </c>
      <c r="L186" s="653">
        <f t="shared" si="31"/>
        <v>35</v>
      </c>
      <c r="M186" s="649"/>
      <c r="N186" s="637">
        <f t="shared" si="32"/>
        <v>35</v>
      </c>
    </row>
    <row r="187" spans="2:14">
      <c r="B187" s="631" t="s">
        <v>1764</v>
      </c>
      <c r="C187" s="762"/>
      <c r="D187" s="631" t="s">
        <v>1600</v>
      </c>
      <c r="E187" s="762"/>
      <c r="F187" s="631" t="s">
        <v>1053</v>
      </c>
      <c r="G187" s="650">
        <v>1</v>
      </c>
      <c r="H187" s="669">
        <v>2400</v>
      </c>
      <c r="I187" s="651"/>
      <c r="J187" s="649">
        <v>1</v>
      </c>
      <c r="K187" s="631" t="s">
        <v>659</v>
      </c>
      <c r="L187" s="653">
        <f t="shared" si="31"/>
        <v>2400</v>
      </c>
      <c r="M187" s="649"/>
      <c r="N187" s="637">
        <f t="shared" si="32"/>
        <v>2400</v>
      </c>
    </row>
  </sheetData>
  <mergeCells count="3">
    <mergeCell ref="B4:B5"/>
    <mergeCell ref="F4:L4"/>
    <mergeCell ref="C4:E4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 codeName="Sheet142">
    <tabColor theme="3" tint="-0.499984740745262"/>
  </sheetPr>
  <dimension ref="A1:J71"/>
  <sheetViews>
    <sheetView showGridLines="0" topLeftCell="A9" workbookViewId="0">
      <selection activeCell="J74" sqref="J74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1040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239" t="s">
        <v>1045</v>
      </c>
      <c r="D14" s="130" t="str">
        <f>IFERROR(VLOOKUP(C14,MasterSheet!$B$6:$N$150,2,),"n/a")</f>
        <v>만두 (치킨)</v>
      </c>
      <c r="E14" s="130" t="str">
        <f>IFERROR(VLOOKUP(C14,MasterSheet!$B$6:$N$150,3,),"n/a")</f>
        <v>Mandu (chicken)</v>
      </c>
      <c r="F14" s="239">
        <v>120</v>
      </c>
      <c r="G14" s="131" t="str">
        <f>IFERROR(VLOOKUP(C14,MasterSheet!B6:N150,10,),"N/a")</f>
        <v>g</v>
      </c>
      <c r="H14" s="323">
        <f>IFERROR(VLOOKUP(C14,MasterSheet!$B$6:$N$150,11,),"N/a")</f>
        <v>67.381160000000008</v>
      </c>
      <c r="I14" s="323">
        <f>IFERROR(F14*H14,"-")</f>
        <v>8085.7392000000009</v>
      </c>
      <c r="J14" s="166"/>
    </row>
    <row r="15" spans="1:10" ht="16.5" customHeight="1">
      <c r="A15" s="967"/>
      <c r="B15" s="973"/>
      <c r="C15" s="239" t="s">
        <v>999</v>
      </c>
      <c r="D15" s="130" t="str">
        <f>IFERROR(VLOOKUP(C15,MasterSheet!$B$6:$N$150,2,),"n/a")</f>
        <v>팜유</v>
      </c>
      <c r="E15" s="130" t="str">
        <f>IFERROR(VLOOKUP(C15,MasterSheet!$B$6:$N$150,3,),"n/a")</f>
        <v>Palm Oil</v>
      </c>
      <c r="F15" s="239">
        <f>F14*0.2</f>
        <v>24</v>
      </c>
      <c r="G15" s="131" t="str">
        <f>IFERROR(VLOOKUP($C$15,MasterSheet!$B$6:$N$150,10,),"n/a")</f>
        <v>g</v>
      </c>
      <c r="H15" s="323">
        <f>IFERROR(VLOOKUP(C15,MasterSheet!$B$6:$N$150,11,),"N/a")</f>
        <v>25.580404040404041</v>
      </c>
      <c r="I15" s="323">
        <f>IFERROR(F15*H15,"-")</f>
        <v>613.92969696969703</v>
      </c>
      <c r="J15" s="168" t="s">
        <v>1096</v>
      </c>
    </row>
    <row r="16" spans="1:10" ht="16.899999999999999">
      <c r="A16" s="967"/>
      <c r="B16" s="974" t="s">
        <v>622</v>
      </c>
      <c r="C16" s="239"/>
      <c r="D16" s="140" t="e">
        <f>VLOOKUP(C16,CK!$B$8:$L$11,3,)</f>
        <v>#N/A</v>
      </c>
      <c r="E16" s="140" t="e">
        <f>VLOOKUP(C16,CK!$B$8:$L$11,4,)</f>
        <v>#N/A</v>
      </c>
      <c r="F16" s="239"/>
      <c r="G16" s="141" t="e">
        <f>VLOOKUP(C16,CK!$B$8:$L$11,9,)</f>
        <v>#N/A</v>
      </c>
      <c r="H16" s="142" t="e">
        <f>VLOOKUP(C16,CK!$B$8:$L$11,10,)</f>
        <v>#N/A</v>
      </c>
      <c r="I16" s="142" t="str">
        <f>IFERROR(F16*H16,"-")</f>
        <v>-</v>
      </c>
      <c r="J16" s="170"/>
    </row>
    <row r="17" spans="1:10" ht="16.899999999999999">
      <c r="A17" s="967"/>
      <c r="B17" s="974"/>
      <c r="C17" s="239"/>
      <c r="D17" s="140" t="e">
        <f>VLOOKUP(C17,CK!$B$8:$L$11,3,)</f>
        <v>#N/A</v>
      </c>
      <c r="E17" s="140" t="e">
        <f>VLOOKUP(C17,CK!$B$8:$L$11,4,)</f>
        <v>#N/A</v>
      </c>
      <c r="F17" s="239"/>
      <c r="G17" s="141" t="e">
        <f>VLOOKUP(C17,CK!$B$8:$L$11,9,)</f>
        <v>#N/A</v>
      </c>
      <c r="H17" s="142" t="e">
        <f>VLOOKUP(C17,CK!$B$8:$L$11,10,)</f>
        <v>#N/A</v>
      </c>
      <c r="I17" s="142" t="str">
        <f>IFERROR(F17*H17,"-")</f>
        <v>-</v>
      </c>
      <c r="J17" s="170"/>
    </row>
    <row r="18" spans="1:10" ht="16.899999999999999">
      <c r="A18" s="967"/>
      <c r="B18" s="974"/>
      <c r="C18" s="239"/>
      <c r="D18" s="140"/>
      <c r="E18" s="140"/>
      <c r="F18" s="239"/>
      <c r="G18" s="141"/>
      <c r="H18" s="141"/>
      <c r="I18" s="141"/>
      <c r="J18" s="170"/>
    </row>
    <row r="19" spans="1:10" ht="16.899999999999999">
      <c r="A19" s="967"/>
      <c r="B19" s="975" t="s">
        <v>623</v>
      </c>
      <c r="C19" s="239"/>
      <c r="D19" s="145"/>
      <c r="E19" s="145"/>
      <c r="F19" s="239"/>
      <c r="G19" s="147"/>
      <c r="H19" s="147"/>
      <c r="I19" s="147"/>
      <c r="J19" s="171"/>
    </row>
    <row r="20" spans="1:10" ht="16.899999999999999">
      <c r="A20" s="967"/>
      <c r="B20" s="976"/>
      <c r="C20" s="239"/>
      <c r="D20" s="145"/>
      <c r="E20" s="145"/>
      <c r="F20" s="239"/>
      <c r="G20" s="147"/>
      <c r="H20" s="147"/>
      <c r="I20" s="147"/>
      <c r="J20" s="171"/>
    </row>
    <row r="21" spans="1:10" ht="16.899999999999999">
      <c r="A21" s="967"/>
      <c r="B21" s="976"/>
      <c r="C21" s="239"/>
      <c r="D21" s="149"/>
      <c r="E21" s="149"/>
      <c r="F21" s="239"/>
      <c r="G21" s="147"/>
      <c r="H21" s="147"/>
      <c r="I21" s="147"/>
      <c r="J21" s="171"/>
    </row>
    <row r="22" spans="1:10" ht="17.25" thickBot="1">
      <c r="A22" s="968"/>
      <c r="B22" s="977"/>
      <c r="C22" s="346"/>
      <c r="D22" s="155"/>
      <c r="E22" s="154"/>
      <c r="F22" s="244"/>
      <c r="G22" s="152"/>
      <c r="H22" s="152"/>
      <c r="I22" s="152"/>
      <c r="J22" s="172"/>
    </row>
    <row r="23" spans="1:10" ht="17.25" thickBot="1">
      <c r="A23" s="156"/>
      <c r="B23" s="157" t="s">
        <v>614</v>
      </c>
      <c r="C23" s="935" t="s">
        <v>624</v>
      </c>
      <c r="D23" s="935"/>
      <c r="E23" s="339">
        <f>SUM(I14:I18)</f>
        <v>8699.6688969696988</v>
      </c>
      <c r="F23" s="989" t="s">
        <v>625</v>
      </c>
      <c r="G23" s="989"/>
      <c r="H23" s="989"/>
      <c r="I23" s="341">
        <f>SUM(I14:I22)</f>
        <v>8699.6688969696988</v>
      </c>
      <c r="J23" s="330" t="s">
        <v>790</v>
      </c>
    </row>
    <row r="24" spans="1:10" ht="17.25" thickBot="1">
      <c r="A24" s="156"/>
      <c r="B24" s="157"/>
      <c r="C24" s="158"/>
      <c r="D24" s="159"/>
      <c r="E24" s="347"/>
      <c r="F24" s="990" t="s">
        <v>789</v>
      </c>
      <c r="G24" s="990"/>
      <c r="H24" s="990"/>
      <c r="I24" s="340" t="e">
        <f>COSTING!#REF!</f>
        <v>#REF!</v>
      </c>
      <c r="J24" s="331" t="str">
        <f>IFERROR((I23/I24),"-")</f>
        <v>-</v>
      </c>
    </row>
    <row r="25" spans="1:10" ht="16.149999999999999" thickBot="1">
      <c r="A25" s="70"/>
      <c r="B25" s="97"/>
      <c r="C25" s="97"/>
      <c r="D25" s="97"/>
      <c r="E25" s="97"/>
      <c r="F25" s="98"/>
      <c r="G25" s="97"/>
      <c r="H25" s="97"/>
      <c r="I25" s="97"/>
      <c r="J25" s="127" t="s">
        <v>605</v>
      </c>
    </row>
    <row r="26" spans="1:10" ht="19.149999999999999" hidden="1">
      <c r="A26" s="941" t="s">
        <v>576</v>
      </c>
      <c r="B26" s="942"/>
      <c r="C26" s="942"/>
      <c r="D26" s="942"/>
      <c r="E26" s="942"/>
      <c r="F26" s="942"/>
      <c r="G26" s="942"/>
      <c r="H26" s="942"/>
      <c r="I26" s="942"/>
      <c r="J26" s="943"/>
    </row>
    <row r="27" spans="1:10" ht="16.899999999999999" hidden="1">
      <c r="A27" s="944" t="s">
        <v>577</v>
      </c>
      <c r="B27" s="945"/>
      <c r="C27" s="945"/>
      <c r="D27" s="946"/>
      <c r="E27" s="947" t="s">
        <v>578</v>
      </c>
      <c r="F27" s="947"/>
      <c r="G27" s="947"/>
      <c r="H27" s="947"/>
      <c r="I27" s="947"/>
      <c r="J27" s="948"/>
    </row>
    <row r="28" spans="1:10" ht="16.899999999999999" hidden="1">
      <c r="A28" s="73"/>
      <c r="B28" s="74"/>
      <c r="C28" s="74"/>
      <c r="D28" s="75"/>
      <c r="E28" s="76" t="s">
        <v>579</v>
      </c>
      <c r="F28" s="76"/>
      <c r="G28" s="67"/>
      <c r="H28" s="67"/>
      <c r="I28" s="67"/>
      <c r="J28" s="77"/>
    </row>
    <row r="29" spans="1:10" ht="15.75" hidden="1">
      <c r="A29" s="78"/>
      <c r="B29" s="79"/>
      <c r="C29" s="79"/>
      <c r="D29" s="80"/>
      <c r="E29" s="81" t="s">
        <v>580</v>
      </c>
      <c r="F29" s="82"/>
      <c r="G29" s="82"/>
      <c r="H29" s="82"/>
      <c r="I29" s="82"/>
      <c r="J29" s="83"/>
    </row>
    <row r="30" spans="1:10" ht="15.75" hidden="1">
      <c r="A30" s="78"/>
      <c r="B30" s="79"/>
      <c r="C30" s="79"/>
      <c r="D30" s="80"/>
      <c r="E30" s="76"/>
      <c r="F30" s="84"/>
      <c r="G30" s="79"/>
      <c r="H30" s="79"/>
      <c r="I30" s="79"/>
      <c r="J30" s="83"/>
    </row>
    <row r="31" spans="1:10" ht="15.75" hidden="1">
      <c r="A31" s="78"/>
      <c r="B31" s="79"/>
      <c r="C31" s="79"/>
      <c r="D31" s="80"/>
      <c r="E31" s="76" t="s">
        <v>581</v>
      </c>
      <c r="F31" s="82"/>
      <c r="G31" s="82"/>
      <c r="H31" s="82"/>
      <c r="I31" s="82"/>
      <c r="J31" s="83"/>
    </row>
    <row r="32" spans="1:10" ht="15.75" hidden="1">
      <c r="A32" s="78"/>
      <c r="B32" s="79"/>
      <c r="C32" s="79"/>
      <c r="D32" s="80"/>
      <c r="E32" s="76" t="s">
        <v>582</v>
      </c>
      <c r="F32" s="84"/>
      <c r="G32" s="79"/>
      <c r="H32" s="79"/>
      <c r="I32" s="79"/>
      <c r="J32" s="83"/>
    </row>
    <row r="33" spans="1:10" ht="15.75" hidden="1">
      <c r="A33" s="78"/>
      <c r="B33" s="79"/>
      <c r="C33" s="79"/>
      <c r="D33" s="80"/>
      <c r="E33" s="76" t="s">
        <v>583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/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 t="s">
        <v>584</v>
      </c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585</v>
      </c>
      <c r="F36" s="84"/>
      <c r="G36" s="79"/>
      <c r="H36" s="79"/>
      <c r="I36" s="79"/>
      <c r="J36" s="83"/>
    </row>
    <row r="37" spans="1:10" ht="16.899999999999999" hidden="1">
      <c r="A37" s="937"/>
      <c r="B37" s="938"/>
      <c r="C37" s="938"/>
      <c r="D37" s="939"/>
      <c r="E37" s="76" t="s">
        <v>586</v>
      </c>
      <c r="F37" s="86"/>
      <c r="G37" s="79"/>
      <c r="H37" s="79"/>
      <c r="I37" s="79"/>
      <c r="J37" s="83"/>
    </row>
    <row r="38" spans="1:10" ht="16.899999999999999" hidden="1">
      <c r="A38" s="73"/>
      <c r="B38" s="74"/>
      <c r="C38" s="74"/>
      <c r="D38" s="85"/>
      <c r="E38" s="76" t="s">
        <v>587</v>
      </c>
      <c r="F38" s="86"/>
      <c r="G38" s="79"/>
      <c r="H38" s="79"/>
      <c r="I38" s="79"/>
      <c r="J38" s="83"/>
    </row>
    <row r="39" spans="1:10" ht="16.899999999999999" hidden="1">
      <c r="A39" s="937"/>
      <c r="B39" s="938"/>
      <c r="C39" s="938"/>
      <c r="D39" s="939"/>
      <c r="E39" s="76" t="s">
        <v>588</v>
      </c>
      <c r="F39" s="84"/>
      <c r="G39" s="79"/>
      <c r="H39" s="79"/>
      <c r="I39" s="79"/>
      <c r="J39" s="87"/>
    </row>
    <row r="40" spans="1:10" ht="16.899999999999999" hidden="1">
      <c r="A40" s="73"/>
      <c r="B40" s="74"/>
      <c r="C40" s="74"/>
      <c r="D40" s="85"/>
      <c r="E40" s="76" t="s">
        <v>589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590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88"/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76" t="s">
        <v>591</v>
      </c>
      <c r="F43" s="84"/>
      <c r="G43" s="79"/>
      <c r="H43" s="79"/>
      <c r="I43" s="79"/>
      <c r="J43" s="87"/>
    </row>
    <row r="44" spans="1:10" ht="16.899999999999999" hidden="1">
      <c r="A44" s="78"/>
      <c r="B44" s="79"/>
      <c r="C44" s="79"/>
      <c r="D44" s="80"/>
      <c r="E44" s="76" t="s">
        <v>592</v>
      </c>
      <c r="F44" s="84"/>
      <c r="G44" s="79"/>
      <c r="H44" s="79"/>
      <c r="I44" s="79"/>
      <c r="J44" s="87"/>
    </row>
    <row r="45" spans="1:10" hidden="1">
      <c r="A45" s="78"/>
      <c r="B45" s="79"/>
      <c r="C45" s="79"/>
      <c r="D45" s="80"/>
      <c r="E45" s="69"/>
      <c r="F45" s="84"/>
      <c r="G45" s="79"/>
      <c r="H45" s="79"/>
      <c r="I45" s="79"/>
      <c r="J45" s="83"/>
    </row>
    <row r="46" spans="1:10" ht="15.75" hidden="1">
      <c r="A46" s="78"/>
      <c r="B46" s="79"/>
      <c r="C46" s="79"/>
      <c r="D46" s="80"/>
      <c r="E46" s="76" t="s">
        <v>593</v>
      </c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594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595</v>
      </c>
      <c r="F48" s="88"/>
      <c r="G48" s="88"/>
      <c r="H48" s="88"/>
      <c r="I48" s="88"/>
      <c r="J48" s="83"/>
    </row>
    <row r="49" spans="1:10" ht="15.75" hidden="1">
      <c r="A49" s="78"/>
      <c r="B49" s="79"/>
      <c r="C49" s="79"/>
      <c r="D49" s="80"/>
      <c r="E49" s="76" t="s">
        <v>596</v>
      </c>
      <c r="F49" s="88"/>
      <c r="G49" s="88"/>
      <c r="H49" s="88"/>
      <c r="I49" s="88"/>
      <c r="J49" s="83"/>
    </row>
    <row r="50" spans="1:10" ht="16.899999999999999" hidden="1">
      <c r="A50" s="937"/>
      <c r="B50" s="938"/>
      <c r="C50" s="938"/>
      <c r="D50" s="939"/>
      <c r="E50" s="76" t="s">
        <v>597</v>
      </c>
      <c r="F50" s="89"/>
      <c r="G50" s="89"/>
      <c r="H50" s="89"/>
      <c r="I50" s="89"/>
      <c r="J50" s="83"/>
    </row>
    <row r="51" spans="1:10" ht="16.899999999999999" hidden="1">
      <c r="A51" s="73"/>
      <c r="B51" s="74"/>
      <c r="C51" s="74"/>
      <c r="D51" s="85"/>
      <c r="E51" s="76" t="s">
        <v>598</v>
      </c>
      <c r="F51" s="89"/>
      <c r="G51" s="89"/>
      <c r="H51" s="89"/>
      <c r="I51" s="89"/>
      <c r="J51" s="83"/>
    </row>
    <row r="52" spans="1:10" ht="16.899999999999999" hidden="1">
      <c r="A52" s="937"/>
      <c r="B52" s="938"/>
      <c r="C52" s="938"/>
      <c r="D52" s="939"/>
      <c r="E52" s="69"/>
      <c r="F52" s="89"/>
      <c r="G52" s="89"/>
      <c r="H52" s="89"/>
      <c r="I52" s="89"/>
      <c r="J52" s="83"/>
    </row>
    <row r="53" spans="1:10" ht="15.75" hidden="1">
      <c r="A53" s="78"/>
      <c r="B53" s="79"/>
      <c r="C53" s="79"/>
      <c r="D53" s="80"/>
      <c r="E53" s="69"/>
      <c r="F53" s="88"/>
      <c r="G53" s="88"/>
      <c r="H53" s="88"/>
      <c r="I53" s="88"/>
      <c r="J53" s="83"/>
    </row>
    <row r="54" spans="1:10" ht="16.149999999999999" hidden="1" thickBot="1">
      <c r="A54" s="90"/>
      <c r="B54" s="91"/>
      <c r="C54" s="91"/>
      <c r="D54" s="92"/>
      <c r="E54" s="93"/>
      <c r="F54" s="94"/>
      <c r="G54" s="94"/>
      <c r="H54" s="94"/>
      <c r="I54" s="94"/>
      <c r="J54" s="95"/>
    </row>
    <row r="55" spans="1:10" ht="16.149999999999999" hidden="1" thickBot="1">
      <c r="A55" s="70"/>
      <c r="B55" s="71"/>
      <c r="C55" s="71"/>
      <c r="D55" s="71"/>
      <c r="E55" s="71"/>
      <c r="F55" s="72"/>
      <c r="G55" s="71"/>
      <c r="H55" s="71"/>
      <c r="I55" s="71"/>
      <c r="J55" s="126" t="s">
        <v>605</v>
      </c>
    </row>
    <row r="56" spans="1:10" ht="19.149999999999999" hidden="1">
      <c r="A56" s="949" t="s">
        <v>576</v>
      </c>
      <c r="B56" s="950"/>
      <c r="C56" s="950"/>
      <c r="D56" s="950"/>
      <c r="E56" s="950"/>
      <c r="F56" s="950"/>
      <c r="G56" s="950"/>
      <c r="H56" s="950"/>
      <c r="I56" s="950"/>
      <c r="J56" s="951"/>
    </row>
    <row r="57" spans="1:10" ht="16.899999999999999" hidden="1">
      <c r="A57" s="944" t="s">
        <v>577</v>
      </c>
      <c r="B57" s="945"/>
      <c r="C57" s="945"/>
      <c r="D57" s="946"/>
      <c r="E57" s="945" t="s">
        <v>578</v>
      </c>
      <c r="F57" s="945"/>
      <c r="G57" s="945"/>
      <c r="H57" s="945"/>
      <c r="I57" s="945"/>
      <c r="J57" s="952"/>
    </row>
    <row r="58" spans="1:10" ht="16.899999999999999" hidden="1">
      <c r="A58" s="73"/>
      <c r="B58" s="74"/>
      <c r="C58" s="74"/>
      <c r="D58" s="75"/>
      <c r="E58" s="76" t="s">
        <v>599</v>
      </c>
      <c r="F58" s="76"/>
      <c r="G58" s="76"/>
      <c r="H58" s="67"/>
      <c r="I58" s="67"/>
      <c r="J58" s="77"/>
    </row>
    <row r="59" spans="1:10" ht="15.75" hidden="1">
      <c r="A59" s="78"/>
      <c r="B59" s="79"/>
      <c r="C59" s="79"/>
      <c r="D59" s="80"/>
      <c r="E59" s="76" t="s">
        <v>600</v>
      </c>
      <c r="F59" s="82"/>
      <c r="G59" s="82"/>
      <c r="H59" s="82"/>
      <c r="I59" s="82"/>
      <c r="J59" s="83"/>
    </row>
    <row r="60" spans="1:10" ht="15.75" hidden="1">
      <c r="A60" s="78"/>
      <c r="B60" s="79"/>
      <c r="C60" s="79"/>
      <c r="D60" s="80"/>
      <c r="E60" s="76" t="s">
        <v>601</v>
      </c>
      <c r="F60" s="84"/>
      <c r="G60" s="79"/>
      <c r="H60" s="79"/>
      <c r="I60" s="79"/>
      <c r="J60" s="83"/>
    </row>
    <row r="61" spans="1:10" ht="15.75" hidden="1">
      <c r="A61" s="78"/>
      <c r="B61" s="79"/>
      <c r="C61" s="79"/>
      <c r="D61" s="80"/>
      <c r="E61" s="76" t="s">
        <v>602</v>
      </c>
      <c r="F61" s="82"/>
      <c r="G61" s="82"/>
      <c r="H61" s="82"/>
      <c r="I61" s="82"/>
      <c r="J61" s="83"/>
    </row>
    <row r="62" spans="1:10" ht="15.75" hidden="1">
      <c r="A62" s="78"/>
      <c r="B62" s="79"/>
      <c r="C62" s="79"/>
      <c r="D62" s="80"/>
      <c r="E62" s="76" t="s">
        <v>603</v>
      </c>
      <c r="F62" s="84"/>
      <c r="G62" s="79"/>
      <c r="H62" s="79"/>
      <c r="I62" s="79"/>
      <c r="J62" s="83"/>
    </row>
    <row r="63" spans="1:10" hidden="1">
      <c r="A63" s="78"/>
      <c r="B63" s="79"/>
      <c r="C63" s="79"/>
      <c r="D63" s="80"/>
      <c r="E63" s="69"/>
      <c r="F63" s="84"/>
      <c r="G63" s="79"/>
      <c r="H63" s="79"/>
      <c r="I63" s="79"/>
      <c r="J63" s="83"/>
    </row>
    <row r="64" spans="1:10" ht="15.75" hidden="1">
      <c r="A64" s="78"/>
      <c r="B64" s="79"/>
      <c r="C64" s="79"/>
      <c r="D64" s="80"/>
      <c r="E64" s="76" t="s">
        <v>604</v>
      </c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/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6.899999999999999" hidden="1">
      <c r="A67" s="937"/>
      <c r="B67" s="938"/>
      <c r="C67" s="938"/>
      <c r="D67" s="939"/>
      <c r="E67" s="76"/>
      <c r="F67" s="89"/>
      <c r="G67" s="89"/>
      <c r="H67" s="89"/>
      <c r="I67" s="89"/>
      <c r="J67" s="83"/>
    </row>
    <row r="68" spans="1:10" ht="16.899999999999999" hidden="1">
      <c r="A68" s="73"/>
      <c r="B68" s="74"/>
      <c r="C68" s="74"/>
      <c r="D68" s="85"/>
      <c r="E68" s="96"/>
      <c r="F68" s="89"/>
      <c r="G68" s="89"/>
      <c r="H68" s="89"/>
      <c r="I68" s="89"/>
      <c r="J68" s="83"/>
    </row>
    <row r="69" spans="1:10" ht="15.75" hidden="1">
      <c r="A69" s="78"/>
      <c r="B69" s="79"/>
      <c r="C69" s="79"/>
      <c r="D69" s="80"/>
      <c r="E69" s="69"/>
      <c r="F69" s="88"/>
      <c r="G69" s="88"/>
      <c r="H69" s="88"/>
      <c r="I69" s="88"/>
      <c r="J69" s="83"/>
    </row>
    <row r="70" spans="1:10" ht="16.149999999999999" hidden="1" thickBot="1">
      <c r="A70" s="90"/>
      <c r="B70" s="91"/>
      <c r="C70" s="91"/>
      <c r="D70" s="92"/>
      <c r="E70" s="93"/>
      <c r="F70" s="94"/>
      <c r="G70" s="94"/>
      <c r="H70" s="94"/>
      <c r="I70" s="94"/>
      <c r="J70" s="95"/>
    </row>
    <row r="71" spans="1:10" ht="16.149999999999999" hidden="1" thickBot="1">
      <c r="A71" s="70"/>
      <c r="B71" s="71"/>
      <c r="C71" s="71"/>
      <c r="D71" s="71"/>
      <c r="E71" s="71"/>
      <c r="F71" s="72"/>
      <c r="G71" s="71"/>
      <c r="H71" s="71"/>
      <c r="I71" s="71"/>
      <c r="J71" s="126" t="s">
        <v>605</v>
      </c>
    </row>
  </sheetData>
  <mergeCells count="30">
    <mergeCell ref="C23:D23"/>
    <mergeCell ref="F23:H23"/>
    <mergeCell ref="A67:D67"/>
    <mergeCell ref="F24:H24"/>
    <mergeCell ref="A26:J26"/>
    <mergeCell ref="A27:D27"/>
    <mergeCell ref="E27:J27"/>
    <mergeCell ref="A37:D37"/>
    <mergeCell ref="A39:D39"/>
    <mergeCell ref="A50:D50"/>
    <mergeCell ref="A52:D52"/>
    <mergeCell ref="A56:J56"/>
    <mergeCell ref="A57:D57"/>
    <mergeCell ref="E57:J57"/>
    <mergeCell ref="A1:J1"/>
    <mergeCell ref="A3:A11"/>
    <mergeCell ref="B3:J11"/>
    <mergeCell ref="A12:A22"/>
    <mergeCell ref="B12:B13"/>
    <mergeCell ref="C12:C13"/>
    <mergeCell ref="D12:E12"/>
    <mergeCell ref="F12:F13"/>
    <mergeCell ref="G12:G13"/>
    <mergeCell ref="H12:H13"/>
    <mergeCell ref="I12:I13"/>
    <mergeCell ref="J12:J13"/>
    <mergeCell ref="B14:B15"/>
    <mergeCell ref="B16:B18"/>
    <mergeCell ref="B19:B22"/>
    <mergeCell ref="B2:J2"/>
  </mergeCells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DFF7A-7220-447E-AF5A-8B368A57F025}">
  <sheetPr>
    <tabColor theme="3" tint="-0.499984740745262"/>
  </sheetPr>
  <dimension ref="A1:J74"/>
  <sheetViews>
    <sheetView showGridLines="0" topLeftCell="A6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9" max="9" width="9.398437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1129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8" t="s">
        <v>621</v>
      </c>
      <c r="C14" s="175" t="s">
        <v>915</v>
      </c>
      <c r="D14" s="130" t="str">
        <f>IFERROR(VLOOKUP(C14,MasterSheet!$B$6:$N$150,2,),"n/a")</f>
        <v>치즈스틱</v>
      </c>
      <c r="E14" s="130" t="str">
        <f>IFERROR(VLOOKUP(C14,MasterSheet!$B$6:$N$150,3,),"n/a")</f>
        <v>Cheese Stick</v>
      </c>
      <c r="F14" s="239">
        <v>50</v>
      </c>
      <c r="G14" s="131" t="str">
        <f>IFERROR(VLOOKUP(C14,MasterSheet!B6:N150,10,),"N/a")</f>
        <v>pc</v>
      </c>
      <c r="H14" s="323">
        <f>IFERROR(VLOOKUP(C14,MasterSheet!$B$6:$N$150,11,),"N/a")</f>
        <v>3885</v>
      </c>
      <c r="I14" s="323">
        <f>IFERROR(F14*H14,"-")</f>
        <v>194250</v>
      </c>
      <c r="J14" s="360" t="s">
        <v>1252</v>
      </c>
    </row>
    <row r="15" spans="1:10" ht="16.5" customHeight="1">
      <c r="A15" s="967"/>
      <c r="B15" s="979"/>
      <c r="C15" s="175" t="s">
        <v>1044</v>
      </c>
      <c r="D15" s="130" t="str">
        <f>IFERROR(VLOOKUP(C15,MasterSheet!$B$6:$N$150,2,),"n/a")</f>
        <v>치킨 너겟</v>
      </c>
      <c r="E15" s="130" t="str">
        <f>IFERROR(VLOOKUP(C15,MasterSheet!$B$6:$N$150,3,),"n/a")</f>
        <v>Chicken Nugget</v>
      </c>
      <c r="F15" s="239">
        <v>60</v>
      </c>
      <c r="G15" s="131" t="str">
        <f>IFERROR(VLOOKUP(C15,MasterSheet!B7:N151,10,),"N/a")</f>
        <v>g</v>
      </c>
      <c r="H15" s="323">
        <f>IFERROR(VLOOKUP(C15,MasterSheet!$B$6:$N$150,11,),"N/a")</f>
        <v>73.40425531914893</v>
      </c>
      <c r="I15" s="323">
        <f>IFERROR(F15*H15,"-")</f>
        <v>4404.255319148936</v>
      </c>
      <c r="J15" s="360" t="s">
        <v>1251</v>
      </c>
    </row>
    <row r="16" spans="1:10" ht="16.5" customHeight="1">
      <c r="A16" s="967"/>
      <c r="B16" s="979"/>
      <c r="C16" s="175"/>
      <c r="D16" s="130"/>
      <c r="E16" s="130"/>
      <c r="F16" s="239"/>
      <c r="G16" s="131"/>
      <c r="H16" s="323"/>
      <c r="I16" s="323"/>
      <c r="J16" s="167"/>
    </row>
    <row r="17" spans="1:10" ht="16.899999999999999">
      <c r="A17" s="967"/>
      <c r="B17" s="979"/>
      <c r="C17" s="175" t="s">
        <v>999</v>
      </c>
      <c r="D17" s="130" t="str">
        <f>IFERROR(VLOOKUP(C17,MasterSheet!$B$6:$N$150,2,),"n/a")</f>
        <v>팜유</v>
      </c>
      <c r="E17" s="130" t="str">
        <f>IFERROR(VLOOKUP(C17,MasterSheet!$B$6:$N$150,3,),"n/a")</f>
        <v>Palm Oil</v>
      </c>
      <c r="F17" s="239">
        <f>(F14+F15)*10%</f>
        <v>11</v>
      </c>
      <c r="G17" s="131" t="str">
        <f>IFERROR(VLOOKUP($C$17,MasterSheet!$B$6:$N$150,10,),"n/a")</f>
        <v>g</v>
      </c>
      <c r="H17" s="323">
        <f>IFERROR(VLOOKUP(C17,MasterSheet!$B$6:$N$150,11,),"N/a")</f>
        <v>25.580404040404041</v>
      </c>
      <c r="I17" s="323">
        <f>IFERROR(F17*H17,"-")</f>
        <v>281.38444444444445</v>
      </c>
      <c r="J17" s="167" t="s">
        <v>1136</v>
      </c>
    </row>
    <row r="18" spans="1:10" ht="16.899999999999999">
      <c r="A18" s="967"/>
      <c r="B18" s="980"/>
      <c r="C18" s="175" t="s">
        <v>690</v>
      </c>
      <c r="D18" s="130" t="str">
        <f>IFERROR(VLOOKUP(C18,MasterSheet!$B$6:$N$150,2,),"n/a")</f>
        <v>치즈맛시즈닝</v>
      </c>
      <c r="E18" s="130" t="str">
        <f>IFERROR(VLOOKUP(C18,MasterSheet!$B$6:$N$150,3,),"n/a")</f>
        <v xml:space="preserve">Cheese Taste Seasoning Mix </v>
      </c>
      <c r="F18" s="239">
        <v>5</v>
      </c>
      <c r="G18" s="131" t="str">
        <f>IFERROR(VLOOKUP($C$17,MasterSheet!$B$6:$N$150,10,),"n/a")</f>
        <v>g</v>
      </c>
      <c r="H18" s="323">
        <f>IFERROR(VLOOKUP(C18,MasterSheet!$B$6:$N$150,11,),"N/a")</f>
        <v>294.48979591836735</v>
      </c>
      <c r="I18" s="323">
        <f>IFERROR(F18*H18,"-")</f>
        <v>1472.4489795918366</v>
      </c>
      <c r="J18" s="167"/>
    </row>
    <row r="19" spans="1:10" ht="16.899999999999999">
      <c r="A19" s="967"/>
      <c r="B19" s="974" t="s">
        <v>622</v>
      </c>
      <c r="C19" s="175" t="s">
        <v>1117</v>
      </c>
      <c r="D19" s="140" t="str">
        <f>VLOOKUP(C19,CK!$B$8:$L$283,3,)</f>
        <v>감자튀김</v>
      </c>
      <c r="E19" s="140" t="str">
        <f>VLOOKUP(C19,CK!$B$8:$L$283,4,)</f>
        <v>French Fries</v>
      </c>
      <c r="F19" s="239">
        <v>100</v>
      </c>
      <c r="G19" s="141" t="str">
        <f>VLOOKUP(C19,CK!$B$8:$L$283,9,)</f>
        <v>g</v>
      </c>
      <c r="H19" s="324">
        <f>VLOOKUP(C19,CK!$B$8:$L$283,10,)</f>
        <v>43.15228956228956</v>
      </c>
      <c r="I19" s="324">
        <f>F19*H19</f>
        <v>4315.2289562289561</v>
      </c>
      <c r="J19" s="170"/>
    </row>
    <row r="20" spans="1:10" ht="16.899999999999999">
      <c r="A20" s="967"/>
      <c r="B20" s="974"/>
      <c r="C20" s="175" t="s">
        <v>1283</v>
      </c>
      <c r="D20" s="140" t="str">
        <f>VLOOKUP(C20,CK!$B$8:$L$283,3,)</f>
        <v>탄산음료</v>
      </c>
      <c r="E20" s="140" t="str">
        <f>VLOOKUP(C20,CK!$B$8:$L$283,4,)</f>
        <v>Soft Drink</v>
      </c>
      <c r="F20" s="239">
        <v>250</v>
      </c>
      <c r="G20" s="141" t="str">
        <f>VLOOKUP(C20,CK!$B$8:$L$283,9,)</f>
        <v>ml</v>
      </c>
      <c r="H20" s="324">
        <f>VLOOKUP(C20,CK!$B$8:$L$283,10,)</f>
        <v>8.9157788757136593</v>
      </c>
      <c r="I20" s="324">
        <f>F20*H20</f>
        <v>2228.9447189284147</v>
      </c>
      <c r="J20" s="170"/>
    </row>
    <row r="21" spans="1:10" ht="16.899999999999999">
      <c r="A21" s="967"/>
      <c r="B21" s="974"/>
      <c r="C21" s="175"/>
      <c r="D21" s="140"/>
      <c r="E21" s="140"/>
      <c r="F21" s="176"/>
      <c r="G21" s="141"/>
      <c r="H21" s="324"/>
      <c r="I21" s="324"/>
      <c r="J21" s="170"/>
    </row>
    <row r="22" spans="1:10" ht="16.899999999999999">
      <c r="A22" s="967"/>
      <c r="B22" s="975" t="s">
        <v>623</v>
      </c>
      <c r="C22" s="175" t="s">
        <v>1077</v>
      </c>
      <c r="D22" s="145" t="str">
        <f>IFERROR(VLOOKUP(C22,MasterSheet!$B$6:$N$340,2,),"n/a")</f>
        <v>음료 패키지 뚜껑</v>
      </c>
      <c r="E22" s="145" t="str">
        <f>IFERROR(VLOOKUP(C22,MasterSheet!$B$6:$N$340,3,),"n/a")</f>
        <v>Drink Package lid</v>
      </c>
      <c r="F22" s="176">
        <v>1</v>
      </c>
      <c r="G22" s="147" t="str">
        <f>IFERROR(VLOOKUP($C$17,MasterSheet!$B$6:$N$340,10,),"n/a")</f>
        <v>g</v>
      </c>
      <c r="H22" s="325">
        <f>IFERROR(VLOOKUP(C22,MasterSheet!$B$6:$N$340,11,),"N/a")</f>
        <v>200</v>
      </c>
      <c r="I22" s="325">
        <f>IFERROR(F22*H22,"-")</f>
        <v>200</v>
      </c>
      <c r="J22" s="171"/>
    </row>
    <row r="23" spans="1:10" ht="16.899999999999999">
      <c r="A23" s="967"/>
      <c r="B23" s="976"/>
      <c r="C23" s="175" t="s">
        <v>1078</v>
      </c>
      <c r="D23" s="145" t="str">
        <f>IFERROR(VLOOKUP(C23,MasterSheet!$B$6:$N$340,2,),"n/a")</f>
        <v>꼬꼬콜 뚜껑</v>
      </c>
      <c r="E23" s="145" t="str">
        <f>IFERROR(VLOOKUP(C23,MasterSheet!$B$6:$N$340,3,),"n/a")</f>
        <v>Coco-cole Lid</v>
      </c>
      <c r="F23" s="176">
        <v>1</v>
      </c>
      <c r="G23" s="147" t="str">
        <f>IFERROR(VLOOKUP($C$17,MasterSheet!$B$6:$N$340,10,),"n/a")</f>
        <v>g</v>
      </c>
      <c r="H23" s="325" t="str">
        <f>IFERROR(VLOOKUP(C23,MasterSheet!$B$6:$N$340,11,),"N/a")</f>
        <v>-</v>
      </c>
      <c r="I23" s="325" t="str">
        <f>IFERROR(F23*H23,"-")</f>
        <v>-</v>
      </c>
      <c r="J23" s="171"/>
    </row>
    <row r="24" spans="1:10" ht="16.899999999999999">
      <c r="A24" s="967"/>
      <c r="B24" s="976"/>
      <c r="C24" s="175"/>
      <c r="D24" s="149"/>
      <c r="E24" s="149"/>
      <c r="F24" s="176"/>
      <c r="G24" s="147"/>
      <c r="H24" s="325"/>
      <c r="I24" s="325"/>
      <c r="J24" s="171"/>
    </row>
    <row r="25" spans="1:10" ht="17.25" thickBot="1">
      <c r="A25" s="968"/>
      <c r="B25" s="977"/>
      <c r="C25" s="241"/>
      <c r="D25" s="155"/>
      <c r="E25" s="154"/>
      <c r="F25" s="242"/>
      <c r="G25" s="152"/>
      <c r="H25" s="342"/>
      <c r="I25" s="342"/>
      <c r="J25" s="172"/>
    </row>
    <row r="26" spans="1:10" ht="17.25" thickBot="1">
      <c r="A26" s="156"/>
      <c r="B26" s="157" t="s">
        <v>614</v>
      </c>
      <c r="C26" s="935" t="s">
        <v>624</v>
      </c>
      <c r="D26" s="935"/>
      <c r="E26" s="341">
        <f>SUM(I14:I21)</f>
        <v>206952.26241834261</v>
      </c>
      <c r="F26" s="988" t="s">
        <v>625</v>
      </c>
      <c r="G26" s="988"/>
      <c r="H26" s="988"/>
      <c r="I26" s="341">
        <f>SUM(I14:I25)</f>
        <v>207152.26241834261</v>
      </c>
      <c r="J26" s="330" t="s">
        <v>790</v>
      </c>
    </row>
    <row r="27" spans="1:10" ht="17.25" thickBot="1">
      <c r="A27" s="156"/>
      <c r="B27" s="157"/>
      <c r="C27" s="158"/>
      <c r="D27" s="159"/>
      <c r="E27" s="159"/>
      <c r="F27" s="940" t="s">
        <v>789</v>
      </c>
      <c r="G27" s="940"/>
      <c r="H27" s="940"/>
      <c r="I27" s="237" t="e">
        <f>INDEX(COSTING!$D$1:$D$943,MATCH($B$2,COSTING!$C$1:$C$943,0))</f>
        <v>#N/A</v>
      </c>
      <c r="J27" s="331" t="str">
        <f>IFERROR((I26/I27),"-")</f>
        <v>-</v>
      </c>
    </row>
    <row r="28" spans="1:10" ht="16.149999999999999" thickBot="1">
      <c r="A28" s="70"/>
      <c r="B28" s="97"/>
      <c r="C28" s="97"/>
      <c r="D28" s="97"/>
      <c r="E28" s="97"/>
      <c r="F28" s="98"/>
      <c r="G28" s="97"/>
      <c r="H28" s="97"/>
      <c r="I28" s="97"/>
      <c r="J28" s="127" t="s">
        <v>605</v>
      </c>
    </row>
    <row r="29" spans="1:10" ht="19.149999999999999" hidden="1">
      <c r="A29" s="941" t="s">
        <v>576</v>
      </c>
      <c r="B29" s="942"/>
      <c r="C29" s="942"/>
      <c r="D29" s="942"/>
      <c r="E29" s="942"/>
      <c r="F29" s="942"/>
      <c r="G29" s="942"/>
      <c r="H29" s="942"/>
      <c r="I29" s="942"/>
      <c r="J29" s="943"/>
    </row>
    <row r="30" spans="1:10" ht="16.899999999999999" hidden="1">
      <c r="A30" s="944" t="s">
        <v>577</v>
      </c>
      <c r="B30" s="945"/>
      <c r="C30" s="945"/>
      <c r="D30" s="946"/>
      <c r="E30" s="947" t="s">
        <v>578</v>
      </c>
      <c r="F30" s="947"/>
      <c r="G30" s="947"/>
      <c r="H30" s="947"/>
      <c r="I30" s="947"/>
      <c r="J30" s="948"/>
    </row>
    <row r="31" spans="1:10" ht="16.899999999999999" hidden="1">
      <c r="A31" s="73"/>
      <c r="B31" s="74"/>
      <c r="C31" s="74"/>
      <c r="D31" s="75"/>
      <c r="E31" s="76" t="s">
        <v>579</v>
      </c>
      <c r="F31" s="76"/>
      <c r="G31" s="67"/>
      <c r="H31" s="67"/>
      <c r="I31" s="67"/>
      <c r="J31" s="77"/>
    </row>
    <row r="32" spans="1:10" ht="15.75" hidden="1">
      <c r="A32" s="78"/>
      <c r="B32" s="79"/>
      <c r="C32" s="79"/>
      <c r="D32" s="80"/>
      <c r="E32" s="81" t="s">
        <v>580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/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581</v>
      </c>
      <c r="F34" s="82"/>
      <c r="G34" s="82"/>
      <c r="H34" s="82"/>
      <c r="I34" s="82"/>
      <c r="J34" s="83"/>
    </row>
    <row r="35" spans="1:10" ht="15.75" hidden="1">
      <c r="A35" s="78"/>
      <c r="B35" s="79"/>
      <c r="C35" s="79"/>
      <c r="D35" s="80"/>
      <c r="E35" s="76" t="s">
        <v>582</v>
      </c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583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/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 t="s">
        <v>584</v>
      </c>
      <c r="F38" s="84"/>
      <c r="G38" s="79"/>
      <c r="H38" s="79"/>
      <c r="I38" s="79"/>
      <c r="J38" s="83"/>
    </row>
    <row r="39" spans="1:10" ht="15.75" hidden="1">
      <c r="A39" s="78"/>
      <c r="B39" s="79"/>
      <c r="C39" s="79"/>
      <c r="D39" s="80"/>
      <c r="E39" s="76" t="s">
        <v>585</v>
      </c>
      <c r="F39" s="84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586</v>
      </c>
      <c r="F40" s="86"/>
      <c r="G40" s="79"/>
      <c r="H40" s="79"/>
      <c r="I40" s="79"/>
      <c r="J40" s="83"/>
    </row>
    <row r="41" spans="1:10" ht="16.899999999999999" hidden="1">
      <c r="A41" s="73"/>
      <c r="B41" s="74"/>
      <c r="C41" s="74"/>
      <c r="D41" s="85"/>
      <c r="E41" s="76" t="s">
        <v>587</v>
      </c>
      <c r="F41" s="86"/>
      <c r="G41" s="79"/>
      <c r="H41" s="79"/>
      <c r="I41" s="79"/>
      <c r="J41" s="83"/>
    </row>
    <row r="42" spans="1:10" ht="16.899999999999999" hidden="1">
      <c r="A42" s="937"/>
      <c r="B42" s="938"/>
      <c r="C42" s="938"/>
      <c r="D42" s="939"/>
      <c r="E42" s="76" t="s">
        <v>588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76" t="s">
        <v>589</v>
      </c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590</v>
      </c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88"/>
      <c r="F45" s="84"/>
      <c r="G45" s="79"/>
      <c r="H45" s="79"/>
      <c r="I45" s="79"/>
      <c r="J45" s="87"/>
    </row>
    <row r="46" spans="1:10" ht="16.899999999999999" hidden="1">
      <c r="A46" s="73"/>
      <c r="B46" s="74"/>
      <c r="C46" s="74"/>
      <c r="D46" s="85"/>
      <c r="E46" s="76" t="s">
        <v>591</v>
      </c>
      <c r="F46" s="84"/>
      <c r="G46" s="79"/>
      <c r="H46" s="79"/>
      <c r="I46" s="79"/>
      <c r="J46" s="87"/>
    </row>
    <row r="47" spans="1:10" ht="16.899999999999999" hidden="1">
      <c r="A47" s="78"/>
      <c r="B47" s="79"/>
      <c r="C47" s="79"/>
      <c r="D47" s="80"/>
      <c r="E47" s="76" t="s">
        <v>592</v>
      </c>
      <c r="F47" s="84"/>
      <c r="G47" s="79"/>
      <c r="H47" s="79"/>
      <c r="I47" s="79"/>
      <c r="J47" s="87"/>
    </row>
    <row r="48" spans="1:10" hidden="1">
      <c r="A48" s="78"/>
      <c r="B48" s="79"/>
      <c r="C48" s="79"/>
      <c r="D48" s="80"/>
      <c r="E48" s="69"/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593</v>
      </c>
      <c r="F49" s="84"/>
      <c r="G49" s="79"/>
      <c r="H49" s="79"/>
      <c r="I49" s="79"/>
      <c r="J49" s="83"/>
    </row>
    <row r="50" spans="1:10" ht="15.75" hidden="1">
      <c r="A50" s="78"/>
      <c r="B50" s="79"/>
      <c r="C50" s="79"/>
      <c r="D50" s="80"/>
      <c r="E50" s="76" t="s">
        <v>594</v>
      </c>
      <c r="F50" s="84"/>
      <c r="G50" s="79"/>
      <c r="H50" s="79"/>
      <c r="I50" s="79"/>
      <c r="J50" s="83"/>
    </row>
    <row r="51" spans="1:10" ht="15.75" hidden="1">
      <c r="A51" s="78"/>
      <c r="B51" s="79"/>
      <c r="C51" s="79"/>
      <c r="D51" s="80"/>
      <c r="E51" s="76" t="s">
        <v>595</v>
      </c>
      <c r="F51" s="88"/>
      <c r="G51" s="88"/>
      <c r="H51" s="88"/>
      <c r="I51" s="88"/>
      <c r="J51" s="83"/>
    </row>
    <row r="52" spans="1:10" ht="15.75" hidden="1">
      <c r="A52" s="78"/>
      <c r="B52" s="79"/>
      <c r="C52" s="79"/>
      <c r="D52" s="80"/>
      <c r="E52" s="76" t="s">
        <v>596</v>
      </c>
      <c r="F52" s="88"/>
      <c r="G52" s="88"/>
      <c r="H52" s="88"/>
      <c r="I52" s="88"/>
      <c r="J52" s="83"/>
    </row>
    <row r="53" spans="1:10" ht="16.899999999999999" hidden="1">
      <c r="A53" s="937"/>
      <c r="B53" s="938"/>
      <c r="C53" s="938"/>
      <c r="D53" s="939"/>
      <c r="E53" s="76" t="s">
        <v>597</v>
      </c>
      <c r="F53" s="89"/>
      <c r="G53" s="89"/>
      <c r="H53" s="89"/>
      <c r="I53" s="89"/>
      <c r="J53" s="83"/>
    </row>
    <row r="54" spans="1:10" ht="16.899999999999999" hidden="1">
      <c r="A54" s="73"/>
      <c r="B54" s="74"/>
      <c r="C54" s="74"/>
      <c r="D54" s="85"/>
      <c r="E54" s="76" t="s">
        <v>598</v>
      </c>
      <c r="F54" s="89"/>
      <c r="G54" s="89"/>
      <c r="H54" s="89"/>
      <c r="I54" s="89"/>
      <c r="J54" s="83"/>
    </row>
    <row r="55" spans="1:10" ht="16.899999999999999" hidden="1">
      <c r="A55" s="937"/>
      <c r="B55" s="938"/>
      <c r="C55" s="938"/>
      <c r="D55" s="939"/>
      <c r="E55" s="69"/>
      <c r="F55" s="89"/>
      <c r="G55" s="89"/>
      <c r="H55" s="89"/>
      <c r="I55" s="89"/>
      <c r="J55" s="83"/>
    </row>
    <row r="56" spans="1:10" ht="15.75" hidden="1">
      <c r="A56" s="78"/>
      <c r="B56" s="79"/>
      <c r="C56" s="79"/>
      <c r="D56" s="80"/>
      <c r="E56" s="69"/>
      <c r="F56" s="88"/>
      <c r="G56" s="88"/>
      <c r="H56" s="88"/>
      <c r="I56" s="88"/>
      <c r="J56" s="83"/>
    </row>
    <row r="57" spans="1:10" ht="16.149999999999999" hidden="1" thickBot="1">
      <c r="A57" s="90"/>
      <c r="B57" s="91"/>
      <c r="C57" s="91"/>
      <c r="D57" s="92"/>
      <c r="E57" s="93"/>
      <c r="F57" s="94"/>
      <c r="G57" s="94"/>
      <c r="H57" s="94"/>
      <c r="I57" s="94"/>
      <c r="J57" s="95"/>
    </row>
    <row r="58" spans="1:10" ht="16.149999999999999" hidden="1" thickBot="1">
      <c r="A58" s="70"/>
      <c r="B58" s="71"/>
      <c r="C58" s="71"/>
      <c r="D58" s="71"/>
      <c r="E58" s="71"/>
      <c r="F58" s="72"/>
      <c r="G58" s="71"/>
      <c r="H58" s="71"/>
      <c r="I58" s="71"/>
      <c r="J58" s="126" t="s">
        <v>605</v>
      </c>
    </row>
    <row r="59" spans="1:10" ht="19.149999999999999" hidden="1">
      <c r="A59" s="949" t="s">
        <v>576</v>
      </c>
      <c r="B59" s="950"/>
      <c r="C59" s="950"/>
      <c r="D59" s="950"/>
      <c r="E59" s="950"/>
      <c r="F59" s="950"/>
      <c r="G59" s="950"/>
      <c r="H59" s="950"/>
      <c r="I59" s="950"/>
      <c r="J59" s="951"/>
    </row>
    <row r="60" spans="1:10" ht="16.899999999999999" hidden="1">
      <c r="A60" s="944" t="s">
        <v>577</v>
      </c>
      <c r="B60" s="945"/>
      <c r="C60" s="945"/>
      <c r="D60" s="946"/>
      <c r="E60" s="945" t="s">
        <v>578</v>
      </c>
      <c r="F60" s="945"/>
      <c r="G60" s="945"/>
      <c r="H60" s="945"/>
      <c r="I60" s="945"/>
      <c r="J60" s="952"/>
    </row>
    <row r="61" spans="1:10" ht="16.899999999999999" hidden="1">
      <c r="A61" s="73"/>
      <c r="B61" s="74"/>
      <c r="C61" s="74"/>
      <c r="D61" s="75"/>
      <c r="E61" s="76" t="s">
        <v>599</v>
      </c>
      <c r="F61" s="76"/>
      <c r="G61" s="76"/>
      <c r="H61" s="67"/>
      <c r="I61" s="67"/>
      <c r="J61" s="77"/>
    </row>
    <row r="62" spans="1:10" ht="15.75" hidden="1">
      <c r="A62" s="78"/>
      <c r="B62" s="79"/>
      <c r="C62" s="79"/>
      <c r="D62" s="80"/>
      <c r="E62" s="76" t="s">
        <v>600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601</v>
      </c>
      <c r="F63" s="84"/>
      <c r="G63" s="79"/>
      <c r="H63" s="79"/>
      <c r="I63" s="79"/>
      <c r="J63" s="83"/>
    </row>
    <row r="64" spans="1:10" ht="15.75" hidden="1">
      <c r="A64" s="78"/>
      <c r="B64" s="79"/>
      <c r="C64" s="79"/>
      <c r="D64" s="80"/>
      <c r="E64" s="76" t="s">
        <v>602</v>
      </c>
      <c r="F64" s="82"/>
      <c r="G64" s="82"/>
      <c r="H64" s="82"/>
      <c r="I64" s="82"/>
      <c r="J64" s="83"/>
    </row>
    <row r="65" spans="1:10" ht="15.75" hidden="1">
      <c r="A65" s="78"/>
      <c r="B65" s="79"/>
      <c r="C65" s="79"/>
      <c r="D65" s="80"/>
      <c r="E65" s="76" t="s">
        <v>603</v>
      </c>
      <c r="F65" s="84"/>
      <c r="G65" s="79"/>
      <c r="H65" s="79"/>
      <c r="I65" s="79"/>
      <c r="J65" s="83"/>
    </row>
    <row r="66" spans="1:10" hidden="1">
      <c r="A66" s="78"/>
      <c r="B66" s="79"/>
      <c r="C66" s="79"/>
      <c r="D66" s="80"/>
      <c r="E66" s="69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 t="s">
        <v>604</v>
      </c>
      <c r="F67" s="84"/>
      <c r="G67" s="79"/>
      <c r="H67" s="79"/>
      <c r="I67" s="79"/>
      <c r="J67" s="83"/>
    </row>
    <row r="68" spans="1:10" ht="15.75" hidden="1">
      <c r="A68" s="78"/>
      <c r="B68" s="79"/>
      <c r="C68" s="79"/>
      <c r="D68" s="80"/>
      <c r="E68" s="76"/>
      <c r="F68" s="84"/>
      <c r="G68" s="79"/>
      <c r="H68" s="79"/>
      <c r="I68" s="79"/>
      <c r="J68" s="83"/>
    </row>
    <row r="69" spans="1:10" ht="15.75" hidden="1">
      <c r="A69" s="78"/>
      <c r="B69" s="79"/>
      <c r="C69" s="79"/>
      <c r="D69" s="80"/>
      <c r="E69" s="76"/>
      <c r="F69" s="84"/>
      <c r="G69" s="79"/>
      <c r="H69" s="79"/>
      <c r="I69" s="79"/>
      <c r="J69" s="83"/>
    </row>
    <row r="70" spans="1:10" ht="16.899999999999999" hidden="1">
      <c r="A70" s="937"/>
      <c r="B70" s="938"/>
      <c r="C70" s="938"/>
      <c r="D70" s="939"/>
      <c r="E70" s="76"/>
      <c r="F70" s="89"/>
      <c r="G70" s="89"/>
      <c r="H70" s="89"/>
      <c r="I70" s="89"/>
      <c r="J70" s="83"/>
    </row>
    <row r="71" spans="1:10" ht="16.899999999999999" hidden="1">
      <c r="A71" s="73"/>
      <c r="B71" s="74"/>
      <c r="C71" s="74"/>
      <c r="D71" s="85"/>
      <c r="E71" s="96"/>
      <c r="F71" s="89"/>
      <c r="G71" s="89"/>
      <c r="H71" s="89"/>
      <c r="I71" s="89"/>
      <c r="J71" s="83"/>
    </row>
    <row r="72" spans="1:10" ht="15.75" hidden="1">
      <c r="A72" s="78"/>
      <c r="B72" s="79"/>
      <c r="C72" s="79"/>
      <c r="D72" s="80"/>
      <c r="E72" s="69"/>
      <c r="F72" s="88"/>
      <c r="G72" s="88"/>
      <c r="H72" s="88"/>
      <c r="I72" s="88"/>
      <c r="J72" s="83"/>
    </row>
    <row r="73" spans="1:10" ht="16.149999999999999" hidden="1" thickBot="1">
      <c r="A73" s="90"/>
      <c r="B73" s="91"/>
      <c r="C73" s="91"/>
      <c r="D73" s="92"/>
      <c r="E73" s="93"/>
      <c r="F73" s="94"/>
      <c r="G73" s="94"/>
      <c r="H73" s="94"/>
      <c r="I73" s="94"/>
      <c r="J73" s="95"/>
    </row>
    <row r="74" spans="1:10" ht="16.149999999999999" hidden="1" thickBot="1">
      <c r="A74" s="70"/>
      <c r="B74" s="71"/>
      <c r="C74" s="71"/>
      <c r="D74" s="71"/>
      <c r="E74" s="71"/>
      <c r="F74" s="72"/>
      <c r="G74" s="71"/>
      <c r="H74" s="71"/>
      <c r="I74" s="71"/>
      <c r="J74" s="126" t="s">
        <v>605</v>
      </c>
    </row>
  </sheetData>
  <mergeCells count="30">
    <mergeCell ref="B22:B25"/>
    <mergeCell ref="A1:J1"/>
    <mergeCell ref="B2:J2"/>
    <mergeCell ref="A3:A11"/>
    <mergeCell ref="B3:J11"/>
    <mergeCell ref="A12:A25"/>
    <mergeCell ref="B12:B13"/>
    <mergeCell ref="C12:C13"/>
    <mergeCell ref="D12:E12"/>
    <mergeCell ref="F12:F13"/>
    <mergeCell ref="G12:G13"/>
    <mergeCell ref="H12:H13"/>
    <mergeCell ref="I12:I13"/>
    <mergeCell ref="J12:J13"/>
    <mergeCell ref="B14:B18"/>
    <mergeCell ref="B19:B21"/>
    <mergeCell ref="C26:D26"/>
    <mergeCell ref="F26:H26"/>
    <mergeCell ref="F27:H27"/>
    <mergeCell ref="A29:J29"/>
    <mergeCell ref="A30:D30"/>
    <mergeCell ref="E30:J30"/>
    <mergeCell ref="A70:D70"/>
    <mergeCell ref="A40:D40"/>
    <mergeCell ref="A42:D42"/>
    <mergeCell ref="A53:D53"/>
    <mergeCell ref="A55:D55"/>
    <mergeCell ref="A59:J59"/>
    <mergeCell ref="A60:D60"/>
    <mergeCell ref="E60:J60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sheetPr codeName="Sheet156">
    <tabColor theme="3" tint="-0.499984740745262"/>
  </sheetPr>
  <dimension ref="A1:J72"/>
  <sheetViews>
    <sheetView showGridLines="0" topLeftCell="A3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486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899999999999999">
      <c r="A14" s="967"/>
      <c r="B14" s="973"/>
      <c r="C14" s="175" t="s">
        <v>966</v>
      </c>
      <c r="D14" s="136" t="str">
        <f>IFERROR(VLOOKUP(C14,MasterSheet!$B$6:$N$150,2,),"n/a")</f>
        <v>감자튀김</v>
      </c>
      <c r="E14" s="136" t="str">
        <f>IFERROR(VLOOKUP(C14,MasterSheet!$B$6:$N$150,3,),"n/a")</f>
        <v>French Fries</v>
      </c>
      <c r="F14" s="176">
        <v>100</v>
      </c>
      <c r="G14" s="131" t="str">
        <f>IFERROR(VLOOKUP(C14,MasterSheet!$B$6:$N$150,10,),"n/a")</f>
        <v>g</v>
      </c>
      <c r="H14" s="323">
        <f>IFERROR(VLOOKUP(C14,MasterSheet!$B$6:$N$150,11,),"N/a")</f>
        <v>46.666666666666664</v>
      </c>
      <c r="I14" s="323">
        <f>IFERROR(F14*H14,"-")</f>
        <v>4666.6666666666661</v>
      </c>
      <c r="J14" s="167"/>
    </row>
    <row r="15" spans="1:10" ht="16.899999999999999">
      <c r="A15" s="967"/>
      <c r="B15" s="973"/>
      <c r="C15" s="175" t="s">
        <v>999</v>
      </c>
      <c r="D15" s="136" t="str">
        <f>IFERROR(VLOOKUP(C15,MasterSheet!$B$6:$N$150,2,),"n/a")</f>
        <v>팜유</v>
      </c>
      <c r="E15" s="136" t="str">
        <f>IFERROR(VLOOKUP(C15,MasterSheet!$B$6:$N$150,3,),"n/a")</f>
        <v>Palm Oil</v>
      </c>
      <c r="F15" s="176">
        <f>F14*10%</f>
        <v>10</v>
      </c>
      <c r="G15" s="131" t="str">
        <f>IFERROR(VLOOKUP(C15,MasterSheet!B15:N158,10,),"N/a")</f>
        <v>g</v>
      </c>
      <c r="H15" s="323">
        <f>IFERROR(VLOOKUP(C15,MasterSheet!$B$6:$N$150,11,),"N/a")</f>
        <v>25.580404040404041</v>
      </c>
      <c r="I15" s="323">
        <f>IFERROR(F15*H15,"-")</f>
        <v>255.80404040404039</v>
      </c>
      <c r="J15" s="168" t="s">
        <v>1135</v>
      </c>
    </row>
    <row r="16" spans="1:10" ht="16.899999999999999">
      <c r="A16" s="967"/>
      <c r="B16" s="973"/>
      <c r="C16" s="175"/>
      <c r="D16" s="136" t="str">
        <f>IFERROR(VLOOKUP(C16,MasterSheet!$B$6:$N$150,2,),"n/a")</f>
        <v>n/a</v>
      </c>
      <c r="E16" s="136" t="str">
        <f>IFERROR(VLOOKUP(C16,MasterSheet!$B$6:$N$150,3,),"n/a")</f>
        <v>n/a</v>
      </c>
      <c r="F16" s="176"/>
      <c r="G16" s="131" t="str">
        <f>IFERROR(VLOOKUP(#REF!,MasterSheet!$B$6:$N$150,10,),"n/a")</f>
        <v>n/a</v>
      </c>
      <c r="H16" s="134" t="str">
        <f>IFERROR(VLOOKUP(C16,MasterSheet!$B$6:$N$150,11,),"N/a")</f>
        <v>N/a</v>
      </c>
      <c r="I16" s="134" t="str">
        <f>IFERROR(F16*H16,"-")</f>
        <v>-</v>
      </c>
      <c r="J16" s="169"/>
    </row>
    <row r="17" spans="1:10" ht="16.899999999999999">
      <c r="A17" s="967"/>
      <c r="B17" s="974" t="s">
        <v>622</v>
      </c>
      <c r="C17" s="175"/>
      <c r="D17" s="140" t="e">
        <f>VLOOKUP(C17,CK!$B$8:$L$11,3,)</f>
        <v>#N/A</v>
      </c>
      <c r="E17" s="140" t="e">
        <f>VLOOKUP(C17,CK!$B$8:$L$11,4,)</f>
        <v>#N/A</v>
      </c>
      <c r="F17" s="239"/>
      <c r="G17" s="141" t="e">
        <f>VLOOKUP(C17,CK!$B$8:$L$11,9,)</f>
        <v>#N/A</v>
      </c>
      <c r="H17" s="142" t="e">
        <f>VLOOKUP(C17,CK!$B$8:$L$11,10,)</f>
        <v>#N/A</v>
      </c>
      <c r="I17" s="142" t="str">
        <f>IFERROR(F17*H17,"-")</f>
        <v>-</v>
      </c>
      <c r="J17" s="170"/>
    </row>
    <row r="18" spans="1:10" ht="16.899999999999999">
      <c r="A18" s="967"/>
      <c r="B18" s="974"/>
      <c r="C18" s="175"/>
      <c r="D18" s="140"/>
      <c r="E18" s="140"/>
      <c r="F18" s="176"/>
      <c r="G18" s="141"/>
      <c r="H18" s="142"/>
      <c r="I18" s="142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141"/>
      <c r="I19" s="141"/>
      <c r="J19" s="170"/>
    </row>
    <row r="20" spans="1:10" ht="28.5">
      <c r="A20" s="967"/>
      <c r="B20" s="975" t="s">
        <v>623</v>
      </c>
      <c r="C20" s="175" t="s">
        <v>1162</v>
      </c>
      <c r="D20" s="145" t="str">
        <f>IFERROR(VLOOKUP(C20,MasterSheet!$B$6:$N$340,2,),"n/a")</f>
        <v>감자튀김백</v>
      </c>
      <c r="E20" s="145" t="str">
        <f>IFERROR(VLOOKUP(C20,MasterSheet!$B$6:$N$340,3,),"n/a")</f>
        <v xml:space="preserve">BB.Q POTATO FRIES BOX (Dine-in) </v>
      </c>
      <c r="F20" s="176">
        <v>1</v>
      </c>
      <c r="G20" s="147" t="s">
        <v>659</v>
      </c>
      <c r="H20" s="325">
        <f>IFERROR(VLOOKUP(C20,MasterSheet!$B$6:$N$340,11,),"N/a")</f>
        <v>535</v>
      </c>
      <c r="I20" s="325">
        <f>IFERROR(F20*H20,"-")</f>
        <v>535</v>
      </c>
      <c r="J20" s="171"/>
    </row>
    <row r="21" spans="1:10" ht="16.899999999999999">
      <c r="A21" s="967"/>
      <c r="B21" s="976"/>
      <c r="C21" s="175"/>
      <c r="D21" s="145"/>
      <c r="E21" s="145"/>
      <c r="F21" s="176"/>
      <c r="G21" s="147"/>
      <c r="H21" s="147"/>
      <c r="I21" s="147"/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147"/>
      <c r="I22" s="147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152"/>
      <c r="I23" s="15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41">
        <f>SUM(I14:I19)</f>
        <v>4922.4707070707063</v>
      </c>
      <c r="F24" s="936" t="s">
        <v>625</v>
      </c>
      <c r="G24" s="936"/>
      <c r="H24" s="936"/>
      <c r="I24" s="341">
        <f>SUM(I14:I23)</f>
        <v>5457.4707070707063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237">
        <f>INDEX(COSTING!$D$1:$D$943,MATCH($B$2,COSTING!$C$1:$C$943,0))</f>
        <v>100</v>
      </c>
      <c r="J25" s="331">
        <f>IFERROR((I24/I25),"-")</f>
        <v>54.574707070707063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A1:J1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  <mergeCell ref="B20:B23"/>
    <mergeCell ref="B2:J2"/>
    <mergeCell ref="C24:D24"/>
    <mergeCell ref="F24:H24"/>
    <mergeCell ref="A68:D68"/>
    <mergeCell ref="F25:H25"/>
    <mergeCell ref="A27:J27"/>
    <mergeCell ref="A28:D28"/>
    <mergeCell ref="E28:J28"/>
    <mergeCell ref="A38:D38"/>
    <mergeCell ref="A40:D40"/>
    <mergeCell ref="A51:D51"/>
    <mergeCell ref="A53:D53"/>
    <mergeCell ref="A57:J57"/>
    <mergeCell ref="A58:D58"/>
    <mergeCell ref="E58:J58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sheetPr codeName="Sheet157">
    <tabColor theme="3" tint="-0.499984740745262"/>
  </sheetPr>
  <dimension ref="A1:L72"/>
  <sheetViews>
    <sheetView showGridLines="0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9" max="9" width="9.3984375" bestFit="1" customWidth="1"/>
    <col min="10" max="10" width="21.06640625" bestFit="1" customWidth="1"/>
  </cols>
  <sheetData>
    <row r="1" spans="1:12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2" ht="25.15" thickBot="1">
      <c r="A2" s="332" t="s">
        <v>655</v>
      </c>
      <c r="B2" s="985" t="s">
        <v>1277</v>
      </c>
      <c r="C2" s="986"/>
      <c r="D2" s="986"/>
      <c r="E2" s="986"/>
      <c r="F2" s="986"/>
      <c r="G2" s="986"/>
      <c r="H2" s="986"/>
      <c r="I2" s="986"/>
      <c r="J2" s="987"/>
    </row>
    <row r="3" spans="1:12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2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2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2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2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2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2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2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2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2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2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2" ht="16.5" customHeight="1">
      <c r="A14" s="967"/>
      <c r="B14" s="973" t="s">
        <v>621</v>
      </c>
      <c r="C14" s="175" t="s">
        <v>967</v>
      </c>
      <c r="D14" s="136" t="str">
        <f>IFERROR(VLOOKUP(C14,MasterSheet!$B$6:$N$150,2,),"n/a")</f>
        <v>치즈스틱</v>
      </c>
      <c r="E14" s="136" t="str">
        <f>IFERROR(VLOOKUP(C14,MasterSheet!$B$6:$N$150,3,),"n/a")</f>
        <v>Cheese Stick</v>
      </c>
      <c r="F14" s="176">
        <v>120</v>
      </c>
      <c r="G14" s="131" t="str">
        <f>IFERROR(VLOOKUP(C14,MasterSheet!B6:N150,10,),"N/a")</f>
        <v>pc</v>
      </c>
      <c r="H14" s="323">
        <f>IFERROR(VLOOKUP(C14,MasterSheet!$B$6:$N$150,11,),"N/a")</f>
        <v>3885</v>
      </c>
      <c r="I14" s="323">
        <f>IFERROR(F14*H14,"-")</f>
        <v>466200</v>
      </c>
      <c r="J14" s="166"/>
      <c r="K14">
        <f>H14*0.09</f>
        <v>349.65</v>
      </c>
      <c r="L14">
        <f>28*5*0.2</f>
        <v>28</v>
      </c>
    </row>
    <row r="15" spans="1:12" ht="16.5" customHeight="1">
      <c r="A15" s="967"/>
      <c r="B15" s="973"/>
      <c r="C15" s="175" t="s">
        <v>999</v>
      </c>
      <c r="D15" s="136" t="str">
        <f>IFERROR(VLOOKUP(C15,MasterSheet!$B$6:$N$150,2,),"n/a")</f>
        <v>팜유</v>
      </c>
      <c r="E15" s="136" t="str">
        <f>IFERROR(VLOOKUP(C15,MasterSheet!$B$6:$N$150,3,),"n/a")</f>
        <v>Palm Oil</v>
      </c>
      <c r="F15" s="176">
        <v>12</v>
      </c>
      <c r="G15" s="131" t="str">
        <f>IFERROR(VLOOKUP($C$15,MasterSheet!$B$6:$N$150,10,),"n/a")</f>
        <v>g</v>
      </c>
      <c r="H15" s="323">
        <f>IFERROR(VLOOKUP(C15,MasterSheet!$B$6:$N$150,11,),"N/a")</f>
        <v>25.580404040404041</v>
      </c>
      <c r="I15" s="323">
        <f>IFERROR(F15*H15,"-")</f>
        <v>306.96484848484852</v>
      </c>
      <c r="J15" s="167"/>
    </row>
    <row r="16" spans="1:12" ht="16.899999999999999">
      <c r="A16" s="967"/>
      <c r="B16" s="973"/>
      <c r="C16" s="175"/>
      <c r="D16" s="136" t="str">
        <f>IFERROR(VLOOKUP(C16,MasterSheet!$B$6:$N$150,2,),"n/a")</f>
        <v>n/a</v>
      </c>
      <c r="E16" s="136" t="str">
        <f>IFERROR(VLOOKUP(C16,MasterSheet!$B$6:$N$150,3,),"n/a")</f>
        <v>n/a</v>
      </c>
      <c r="F16" s="176"/>
      <c r="G16" s="131" t="str">
        <f>IFERROR(VLOOKUP(C16,MasterSheet!B12:N155,10,),"N/a")</f>
        <v>N/a</v>
      </c>
      <c r="H16" s="323" t="str">
        <f>IFERROR(VLOOKUP(C16,MasterSheet!$B$6:$N$150,11,),"N/a")</f>
        <v>N/a</v>
      </c>
      <c r="I16" s="323" t="str">
        <f>IFERROR(F16*H16,"-")</f>
        <v>-</v>
      </c>
      <c r="J16" s="167"/>
    </row>
    <row r="17" spans="1:10" ht="16.899999999999999">
      <c r="A17" s="967"/>
      <c r="B17" s="974" t="s">
        <v>622</v>
      </c>
      <c r="C17" s="175"/>
      <c r="D17" s="140" t="e">
        <f>VLOOKUP(C17,CK!$B$8:$L$11,3,)</f>
        <v>#N/A</v>
      </c>
      <c r="E17" s="140" t="e">
        <f>VLOOKUP(C17,CK!$B$8:$L$11,4,)</f>
        <v>#N/A</v>
      </c>
      <c r="F17" s="239"/>
      <c r="G17" s="141" t="e">
        <f>VLOOKUP(C17,CK!$B$8:$L$11,9,)</f>
        <v>#N/A</v>
      </c>
      <c r="H17" s="324" t="e">
        <f>VLOOKUP(C17,CK!$B$8:$L$11,10,)</f>
        <v>#N/A</v>
      </c>
      <c r="I17" s="324" t="str">
        <f>IFERROR(F17*H17,"-")</f>
        <v>-</v>
      </c>
      <c r="J17" s="170"/>
    </row>
    <row r="18" spans="1:10" ht="16.899999999999999">
      <c r="A18" s="967"/>
      <c r="B18" s="974"/>
      <c r="C18" s="175"/>
      <c r="D18" s="140"/>
      <c r="E18" s="140"/>
      <c r="F18" s="176"/>
      <c r="G18" s="141"/>
      <c r="H18" s="324"/>
      <c r="I18" s="324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16.899999999999999">
      <c r="A20" s="967"/>
      <c r="B20" s="975" t="s">
        <v>623</v>
      </c>
      <c r="C20" s="175"/>
      <c r="D20" s="145"/>
      <c r="E20" s="145"/>
      <c r="F20" s="176"/>
      <c r="G20" s="147"/>
      <c r="H20" s="325"/>
      <c r="I20" s="325"/>
      <c r="J20" s="171"/>
    </row>
    <row r="21" spans="1:10" ht="16.899999999999999">
      <c r="A21" s="967"/>
      <c r="B21" s="976"/>
      <c r="C21" s="175"/>
      <c r="D21" s="145"/>
      <c r="E21" s="145"/>
      <c r="F21" s="176"/>
      <c r="G21" s="147"/>
      <c r="H21" s="325"/>
      <c r="I21" s="325"/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325"/>
      <c r="I22" s="325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342"/>
      <c r="I23" s="34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39">
        <f>SUM(I14:I19)</f>
        <v>466506.96484848484</v>
      </c>
      <c r="F24" s="989" t="s">
        <v>625</v>
      </c>
      <c r="G24" s="989"/>
      <c r="H24" s="989"/>
      <c r="I24" s="341">
        <f>SUM(I14:I23)</f>
        <v>466506.96484848484</v>
      </c>
      <c r="J24" s="330" t="s">
        <v>790</v>
      </c>
    </row>
    <row r="25" spans="1:10" ht="17.25" thickBot="1">
      <c r="A25" s="156"/>
      <c r="B25" s="157"/>
      <c r="C25" s="158"/>
      <c r="D25" s="159"/>
      <c r="E25" s="347"/>
      <c r="F25" s="990" t="s">
        <v>789</v>
      </c>
      <c r="G25" s="990"/>
      <c r="H25" s="990"/>
      <c r="I25" s="237" t="e">
        <f>INDEX(COSTING!$D$1:$D$943,MATCH($B$2,COSTING!$C$1:$C$943,0))</f>
        <v>#N/A</v>
      </c>
      <c r="J25" s="331" t="str">
        <f>IFERROR((I24/I25),"-")</f>
        <v>-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A1:J1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  <mergeCell ref="B20:B23"/>
    <mergeCell ref="B2:J2"/>
    <mergeCell ref="C24:D24"/>
    <mergeCell ref="F24:H24"/>
    <mergeCell ref="A68:D68"/>
    <mergeCell ref="F25:H25"/>
    <mergeCell ref="A27:J27"/>
    <mergeCell ref="A28:D28"/>
    <mergeCell ref="E28:J28"/>
    <mergeCell ref="A38:D38"/>
    <mergeCell ref="A40:D40"/>
    <mergeCell ref="A51:D51"/>
    <mergeCell ref="A53:D53"/>
    <mergeCell ref="A57:J57"/>
    <mergeCell ref="A58:D58"/>
    <mergeCell ref="E58:J58"/>
  </mergeCells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sheetPr codeName="Sheet110">
    <tabColor theme="3" tint="-0.499984740745262"/>
  </sheetPr>
  <dimension ref="A1:M74"/>
  <sheetViews>
    <sheetView showGridLines="0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3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3" ht="25.15" thickBot="1">
      <c r="A2" s="332" t="s">
        <v>655</v>
      </c>
      <c r="B2" s="333" t="s">
        <v>1278</v>
      </c>
      <c r="C2" s="334"/>
      <c r="D2" s="333"/>
      <c r="E2" s="333"/>
      <c r="F2" s="335"/>
      <c r="G2" s="333"/>
      <c r="H2" s="333"/>
      <c r="I2" s="333"/>
      <c r="J2" s="336"/>
    </row>
    <row r="3" spans="1:13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3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3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3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3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3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3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3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3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3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3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  <c r="M13">
        <f>30*5</f>
        <v>150</v>
      </c>
    </row>
    <row r="14" spans="1:13" ht="16.5" customHeight="1">
      <c r="A14" s="967"/>
      <c r="B14" s="978" t="s">
        <v>621</v>
      </c>
      <c r="C14" s="175" t="s">
        <v>971</v>
      </c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>
        <f>15*5</f>
        <v>75</v>
      </c>
      <c r="G14" s="131" t="str">
        <f>IFERROR(VLOOKUP(C14,MasterSheet!B6:N150,10,),"N/a")</f>
        <v>N/a</v>
      </c>
      <c r="H14" s="323" t="str">
        <f>IFERROR(VLOOKUP(C14,MasterSheet!$B$6:$N$150,11,),"N/a")</f>
        <v>N/a</v>
      </c>
      <c r="I14" s="323" t="str">
        <f t="shared" ref="I14:I19" si="0">IFERROR(F14*H14,"-")</f>
        <v>-</v>
      </c>
      <c r="J14" s="166"/>
    </row>
    <row r="15" spans="1:13" ht="16.5" customHeight="1">
      <c r="A15" s="967"/>
      <c r="B15" s="979"/>
      <c r="C15" s="175" t="s">
        <v>999</v>
      </c>
      <c r="D15" s="130" t="str">
        <f>IFERROR(VLOOKUP(C15,MasterSheet!$B$6:$N$150,2,),"n/a")</f>
        <v>팜유</v>
      </c>
      <c r="E15" s="130" t="str">
        <f>IFERROR(VLOOKUP(C15,MasterSheet!$B$6:$N$150,3,),"n/a")</f>
        <v>Palm Oil</v>
      </c>
      <c r="F15" s="176">
        <f>75*10%</f>
        <v>7.5</v>
      </c>
      <c r="G15" s="131" t="str">
        <f>IFERROR(VLOOKUP($C$15,MasterSheet!$B$6:$N$150,10,),"n/a")</f>
        <v>g</v>
      </c>
      <c r="H15" s="323">
        <f>IFERROR(VLOOKUP(C15,MasterSheet!$B$6:$N$150,11,),"N/a")</f>
        <v>25.580404040404041</v>
      </c>
      <c r="I15" s="323">
        <f t="shared" si="0"/>
        <v>191.85303030303029</v>
      </c>
      <c r="J15" s="167"/>
    </row>
    <row r="16" spans="1:13" ht="16.899999999999999">
      <c r="A16" s="967"/>
      <c r="B16" s="979"/>
      <c r="C16" s="175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176"/>
      <c r="G16" s="131" t="str">
        <f>IFERROR(VLOOKUP($C$16,MasterSheet!$B$6:$N$150,10,),"n/a")</f>
        <v>n/a</v>
      </c>
      <c r="H16" s="134" t="str">
        <f>IFERROR(VLOOKUP(C16,MasterSheet!$B$6:$N$150,11,),"N/a")</f>
        <v>N/a</v>
      </c>
      <c r="I16" s="134" t="str">
        <f t="shared" si="0"/>
        <v>-</v>
      </c>
      <c r="J16" s="167"/>
    </row>
    <row r="17" spans="1:10" ht="16.899999999999999">
      <c r="A17" s="967"/>
      <c r="B17" s="979"/>
      <c r="C17" s="175"/>
      <c r="D17" s="130" t="str">
        <f>IFERROR(VLOOKUP(C17,MasterSheet!$B$6:$N$150,2,),"n/a")</f>
        <v>n/a</v>
      </c>
      <c r="E17" s="130" t="str">
        <f>IFERROR(VLOOKUP(C17,MasterSheet!$B$6:$N$150,3,),"n/a")</f>
        <v>n/a</v>
      </c>
      <c r="F17" s="176"/>
      <c r="G17" s="131" t="str">
        <f>IFERROR(VLOOKUP(C17,MasterSheet!B9:N153,10,),"N/a")</f>
        <v>N/a</v>
      </c>
      <c r="H17" s="134" t="str">
        <f>IFERROR(VLOOKUP(C17,MasterSheet!$B$6:$N$150,11,),"N/a")</f>
        <v>N/a</v>
      </c>
      <c r="I17" s="134" t="str">
        <f t="shared" si="0"/>
        <v>-</v>
      </c>
      <c r="J17" s="167"/>
    </row>
    <row r="18" spans="1:10" ht="16.899999999999999">
      <c r="A18" s="967"/>
      <c r="B18" s="980"/>
      <c r="C18" s="175"/>
      <c r="D18" s="130" t="str">
        <f>IFERROR(VLOOKUP(C18,MasterSheet!$B$6:$N$150,2,),"n/a")</f>
        <v>n/a</v>
      </c>
      <c r="E18" s="130" t="str">
        <f>IFERROR(VLOOKUP(C18,MasterSheet!$B$6:$N$150,3,),"n/a")</f>
        <v>n/a</v>
      </c>
      <c r="F18" s="176"/>
      <c r="G18" s="131" t="str">
        <f>IFERROR(VLOOKUP(C18,MasterSheet!B10:N154,10,),"N/a")</f>
        <v>N/a</v>
      </c>
      <c r="H18" s="134" t="str">
        <f>IFERROR(VLOOKUP(C18,MasterSheet!$B$6:$N$150,11,),"N/a")</f>
        <v>N/a</v>
      </c>
      <c r="I18" s="134" t="str">
        <f t="shared" si="0"/>
        <v>-</v>
      </c>
      <c r="J18" s="167"/>
    </row>
    <row r="19" spans="1:10" ht="16.899999999999999">
      <c r="A19" s="967"/>
      <c r="B19" s="974" t="s">
        <v>622</v>
      </c>
      <c r="C19" s="175"/>
      <c r="D19" s="140" t="e">
        <f>VLOOKUP(C19,CK!$B$8:$L$11,3,)</f>
        <v>#N/A</v>
      </c>
      <c r="E19" s="140" t="e">
        <f>VLOOKUP(C19,CK!$B$8:$L$11,4,)</f>
        <v>#N/A</v>
      </c>
      <c r="F19" s="239"/>
      <c r="G19" s="141" t="e">
        <f>VLOOKUP(C19,CK!$B$8:$L$11,9,)</f>
        <v>#N/A</v>
      </c>
      <c r="H19" s="142" t="e">
        <f>VLOOKUP(C19,CK!$B$8:$L$11,10,)</f>
        <v>#N/A</v>
      </c>
      <c r="I19" s="142" t="str">
        <f t="shared" si="0"/>
        <v>-</v>
      </c>
      <c r="J19" s="170"/>
    </row>
    <row r="20" spans="1:10" ht="16.899999999999999">
      <c r="A20" s="967"/>
      <c r="B20" s="974"/>
      <c r="C20" s="175"/>
      <c r="D20" s="140"/>
      <c r="E20" s="140"/>
      <c r="F20" s="176"/>
      <c r="G20" s="141"/>
      <c r="H20" s="142"/>
      <c r="I20" s="142"/>
      <c r="J20" s="170"/>
    </row>
    <row r="21" spans="1:10" ht="16.899999999999999">
      <c r="A21" s="967"/>
      <c r="B21" s="974"/>
      <c r="C21" s="175"/>
      <c r="D21" s="140"/>
      <c r="E21" s="140"/>
      <c r="F21" s="176"/>
      <c r="G21" s="141"/>
      <c r="H21" s="141"/>
      <c r="I21" s="141"/>
      <c r="J21" s="170"/>
    </row>
    <row r="22" spans="1:10" ht="16.899999999999999">
      <c r="A22" s="967"/>
      <c r="B22" s="975" t="s">
        <v>623</v>
      </c>
      <c r="C22" s="175"/>
      <c r="D22" s="145"/>
      <c r="E22" s="145"/>
      <c r="F22" s="176"/>
      <c r="G22" s="147"/>
      <c r="H22" s="147"/>
      <c r="I22" s="147"/>
      <c r="J22" s="171"/>
    </row>
    <row r="23" spans="1:10" ht="16.899999999999999">
      <c r="A23" s="967"/>
      <c r="B23" s="976"/>
      <c r="C23" s="175"/>
      <c r="D23" s="145"/>
      <c r="E23" s="145"/>
      <c r="F23" s="176"/>
      <c r="G23" s="147"/>
      <c r="H23" s="147"/>
      <c r="I23" s="147"/>
      <c r="J23" s="171"/>
    </row>
    <row r="24" spans="1:10" ht="16.899999999999999">
      <c r="A24" s="967"/>
      <c r="B24" s="976"/>
      <c r="C24" s="175"/>
      <c r="D24" s="149"/>
      <c r="E24" s="149"/>
      <c r="F24" s="176"/>
      <c r="G24" s="147"/>
      <c r="H24" s="147"/>
      <c r="I24" s="147"/>
      <c r="J24" s="171"/>
    </row>
    <row r="25" spans="1:10" ht="17.25" thickBot="1">
      <c r="A25" s="968"/>
      <c r="B25" s="977"/>
      <c r="C25" s="241"/>
      <c r="D25" s="155"/>
      <c r="E25" s="154"/>
      <c r="F25" s="242"/>
      <c r="G25" s="152"/>
      <c r="H25" s="152"/>
      <c r="I25" s="152"/>
      <c r="J25" s="172"/>
    </row>
    <row r="26" spans="1:10" ht="17.25" thickBot="1">
      <c r="A26" s="156"/>
      <c r="B26" s="157" t="s">
        <v>614</v>
      </c>
      <c r="C26" s="935" t="s">
        <v>624</v>
      </c>
      <c r="D26" s="935"/>
      <c r="E26" s="160">
        <f>SUM(I14:I21)</f>
        <v>191.85303030303029</v>
      </c>
      <c r="F26" s="936" t="s">
        <v>625</v>
      </c>
      <c r="G26" s="936"/>
      <c r="H26" s="936"/>
      <c r="I26" s="358">
        <f>SUM(I14:I25)</f>
        <v>191.85303030303029</v>
      </c>
      <c r="J26" s="330" t="s">
        <v>790</v>
      </c>
    </row>
    <row r="27" spans="1:10" ht="17.25" thickBot="1">
      <c r="A27" s="156"/>
      <c r="B27" s="157"/>
      <c r="C27" s="158"/>
      <c r="D27" s="159"/>
      <c r="E27" s="159"/>
      <c r="F27" s="940" t="s">
        <v>789</v>
      </c>
      <c r="G27" s="940"/>
      <c r="H27" s="940"/>
      <c r="I27" s="237" t="e">
        <f>INDEX(COSTING!$D$1:$D$943,MATCH($B$2,COSTING!$C$1:$C$943,0))</f>
        <v>#N/A</v>
      </c>
      <c r="J27" s="331" t="str">
        <f>IFERROR((I26/I27),"-")</f>
        <v>-</v>
      </c>
    </row>
    <row r="28" spans="1:10" ht="16.149999999999999" thickBot="1">
      <c r="A28" s="70"/>
      <c r="B28" s="97"/>
      <c r="C28" s="97"/>
      <c r="D28" s="97"/>
      <c r="E28" s="97"/>
      <c r="F28" s="98"/>
      <c r="G28" s="97"/>
      <c r="H28" s="97"/>
      <c r="I28" s="97"/>
      <c r="J28" s="127" t="s">
        <v>605</v>
      </c>
    </row>
    <row r="29" spans="1:10" ht="19.149999999999999" hidden="1">
      <c r="A29" s="941" t="s">
        <v>576</v>
      </c>
      <c r="B29" s="942"/>
      <c r="C29" s="942"/>
      <c r="D29" s="942"/>
      <c r="E29" s="942"/>
      <c r="F29" s="942"/>
      <c r="G29" s="942"/>
      <c r="H29" s="942"/>
      <c r="I29" s="942"/>
      <c r="J29" s="943"/>
    </row>
    <row r="30" spans="1:10" ht="16.899999999999999" hidden="1">
      <c r="A30" s="944" t="s">
        <v>577</v>
      </c>
      <c r="B30" s="945"/>
      <c r="C30" s="945"/>
      <c r="D30" s="946"/>
      <c r="E30" s="947" t="s">
        <v>578</v>
      </c>
      <c r="F30" s="947"/>
      <c r="G30" s="947"/>
      <c r="H30" s="947"/>
      <c r="I30" s="947"/>
      <c r="J30" s="948"/>
    </row>
    <row r="31" spans="1:10" ht="16.899999999999999" hidden="1">
      <c r="A31" s="73"/>
      <c r="B31" s="74"/>
      <c r="C31" s="74"/>
      <c r="D31" s="75"/>
      <c r="E31" s="76" t="s">
        <v>579</v>
      </c>
      <c r="F31" s="76"/>
      <c r="G31" s="67"/>
      <c r="H31" s="67"/>
      <c r="I31" s="67"/>
      <c r="J31" s="77"/>
    </row>
    <row r="32" spans="1:10" ht="15.75" hidden="1">
      <c r="A32" s="78"/>
      <c r="B32" s="79"/>
      <c r="C32" s="79"/>
      <c r="D32" s="80"/>
      <c r="E32" s="81" t="s">
        <v>580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/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581</v>
      </c>
      <c r="F34" s="82"/>
      <c r="G34" s="82"/>
      <c r="H34" s="82"/>
      <c r="I34" s="82"/>
      <c r="J34" s="83"/>
    </row>
    <row r="35" spans="1:10" ht="15.75" hidden="1">
      <c r="A35" s="78"/>
      <c r="B35" s="79"/>
      <c r="C35" s="79"/>
      <c r="D35" s="80"/>
      <c r="E35" s="76" t="s">
        <v>582</v>
      </c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583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/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 t="s">
        <v>584</v>
      </c>
      <c r="F38" s="84"/>
      <c r="G38" s="79"/>
      <c r="H38" s="79"/>
      <c r="I38" s="79"/>
      <c r="J38" s="83"/>
    </row>
    <row r="39" spans="1:10" ht="15.75" hidden="1">
      <c r="A39" s="78"/>
      <c r="B39" s="79"/>
      <c r="C39" s="79"/>
      <c r="D39" s="80"/>
      <c r="E39" s="76" t="s">
        <v>585</v>
      </c>
      <c r="F39" s="84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586</v>
      </c>
      <c r="F40" s="86"/>
      <c r="G40" s="79"/>
      <c r="H40" s="79"/>
      <c r="I40" s="79"/>
      <c r="J40" s="83"/>
    </row>
    <row r="41" spans="1:10" ht="16.899999999999999" hidden="1">
      <c r="A41" s="73"/>
      <c r="B41" s="74"/>
      <c r="C41" s="74"/>
      <c r="D41" s="85"/>
      <c r="E41" s="76" t="s">
        <v>587</v>
      </c>
      <c r="F41" s="86"/>
      <c r="G41" s="79"/>
      <c r="H41" s="79"/>
      <c r="I41" s="79"/>
      <c r="J41" s="83"/>
    </row>
    <row r="42" spans="1:10" ht="16.899999999999999" hidden="1">
      <c r="A42" s="937"/>
      <c r="B42" s="938"/>
      <c r="C42" s="938"/>
      <c r="D42" s="939"/>
      <c r="E42" s="76" t="s">
        <v>588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76" t="s">
        <v>589</v>
      </c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590</v>
      </c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88"/>
      <c r="F45" s="84"/>
      <c r="G45" s="79"/>
      <c r="H45" s="79"/>
      <c r="I45" s="79"/>
      <c r="J45" s="87"/>
    </row>
    <row r="46" spans="1:10" ht="16.899999999999999" hidden="1">
      <c r="A46" s="73"/>
      <c r="B46" s="74"/>
      <c r="C46" s="74"/>
      <c r="D46" s="85"/>
      <c r="E46" s="76" t="s">
        <v>591</v>
      </c>
      <c r="F46" s="84"/>
      <c r="G46" s="79"/>
      <c r="H46" s="79"/>
      <c r="I46" s="79"/>
      <c r="J46" s="87"/>
    </row>
    <row r="47" spans="1:10" ht="16.899999999999999" hidden="1">
      <c r="A47" s="78"/>
      <c r="B47" s="79"/>
      <c r="C47" s="79"/>
      <c r="D47" s="80"/>
      <c r="E47" s="76" t="s">
        <v>592</v>
      </c>
      <c r="F47" s="84"/>
      <c r="G47" s="79"/>
      <c r="H47" s="79"/>
      <c r="I47" s="79"/>
      <c r="J47" s="87"/>
    </row>
    <row r="48" spans="1:10" hidden="1">
      <c r="A48" s="78"/>
      <c r="B48" s="79"/>
      <c r="C48" s="79"/>
      <c r="D48" s="80"/>
      <c r="E48" s="69"/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593</v>
      </c>
      <c r="F49" s="84"/>
      <c r="G49" s="79"/>
      <c r="H49" s="79"/>
      <c r="I49" s="79"/>
      <c r="J49" s="83"/>
    </row>
    <row r="50" spans="1:10" ht="15.75" hidden="1">
      <c r="A50" s="78"/>
      <c r="B50" s="79"/>
      <c r="C50" s="79"/>
      <c r="D50" s="80"/>
      <c r="E50" s="76" t="s">
        <v>594</v>
      </c>
      <c r="F50" s="84"/>
      <c r="G50" s="79"/>
      <c r="H50" s="79"/>
      <c r="I50" s="79"/>
      <c r="J50" s="83"/>
    </row>
    <row r="51" spans="1:10" ht="15.75" hidden="1">
      <c r="A51" s="78"/>
      <c r="B51" s="79"/>
      <c r="C51" s="79"/>
      <c r="D51" s="80"/>
      <c r="E51" s="76" t="s">
        <v>595</v>
      </c>
      <c r="F51" s="88"/>
      <c r="G51" s="88"/>
      <c r="H51" s="88"/>
      <c r="I51" s="88"/>
      <c r="J51" s="83"/>
    </row>
    <row r="52" spans="1:10" ht="15.75" hidden="1">
      <c r="A52" s="78"/>
      <c r="B52" s="79"/>
      <c r="C52" s="79"/>
      <c r="D52" s="80"/>
      <c r="E52" s="76" t="s">
        <v>596</v>
      </c>
      <c r="F52" s="88"/>
      <c r="G52" s="88"/>
      <c r="H52" s="88"/>
      <c r="I52" s="88"/>
      <c r="J52" s="83"/>
    </row>
    <row r="53" spans="1:10" ht="16.899999999999999" hidden="1">
      <c r="A53" s="937"/>
      <c r="B53" s="938"/>
      <c r="C53" s="938"/>
      <c r="D53" s="939"/>
      <c r="E53" s="76" t="s">
        <v>597</v>
      </c>
      <c r="F53" s="89"/>
      <c r="G53" s="89"/>
      <c r="H53" s="89"/>
      <c r="I53" s="89"/>
      <c r="J53" s="83"/>
    </row>
    <row r="54" spans="1:10" ht="16.899999999999999" hidden="1">
      <c r="A54" s="73"/>
      <c r="B54" s="74"/>
      <c r="C54" s="74"/>
      <c r="D54" s="85"/>
      <c r="E54" s="76" t="s">
        <v>598</v>
      </c>
      <c r="F54" s="89"/>
      <c r="G54" s="89"/>
      <c r="H54" s="89"/>
      <c r="I54" s="89"/>
      <c r="J54" s="83"/>
    </row>
    <row r="55" spans="1:10" ht="16.899999999999999" hidden="1">
      <c r="A55" s="937"/>
      <c r="B55" s="938"/>
      <c r="C55" s="938"/>
      <c r="D55" s="939"/>
      <c r="E55" s="69"/>
      <c r="F55" s="89"/>
      <c r="G55" s="89"/>
      <c r="H55" s="89"/>
      <c r="I55" s="89"/>
      <c r="J55" s="83"/>
    </row>
    <row r="56" spans="1:10" ht="15.75" hidden="1">
      <c r="A56" s="78"/>
      <c r="B56" s="79"/>
      <c r="C56" s="79"/>
      <c r="D56" s="80"/>
      <c r="E56" s="69"/>
      <c r="F56" s="88"/>
      <c r="G56" s="88"/>
      <c r="H56" s="88"/>
      <c r="I56" s="88"/>
      <c r="J56" s="83"/>
    </row>
    <row r="57" spans="1:10" ht="16.149999999999999" hidden="1" thickBot="1">
      <c r="A57" s="90"/>
      <c r="B57" s="91"/>
      <c r="C57" s="91"/>
      <c r="D57" s="92"/>
      <c r="E57" s="93"/>
      <c r="F57" s="94"/>
      <c r="G57" s="94"/>
      <c r="H57" s="94"/>
      <c r="I57" s="94"/>
      <c r="J57" s="95"/>
    </row>
    <row r="58" spans="1:10" ht="16.149999999999999" hidden="1" thickBot="1">
      <c r="A58" s="70"/>
      <c r="B58" s="71"/>
      <c r="C58" s="71"/>
      <c r="D58" s="71"/>
      <c r="E58" s="71"/>
      <c r="F58" s="72"/>
      <c r="G58" s="71"/>
      <c r="H58" s="71"/>
      <c r="I58" s="71"/>
      <c r="J58" s="126" t="s">
        <v>605</v>
      </c>
    </row>
    <row r="59" spans="1:10" ht="19.149999999999999" hidden="1">
      <c r="A59" s="949" t="s">
        <v>576</v>
      </c>
      <c r="B59" s="950"/>
      <c r="C59" s="950"/>
      <c r="D59" s="950"/>
      <c r="E59" s="950"/>
      <c r="F59" s="950"/>
      <c r="G59" s="950"/>
      <c r="H59" s="950"/>
      <c r="I59" s="950"/>
      <c r="J59" s="951"/>
    </row>
    <row r="60" spans="1:10" ht="16.899999999999999" hidden="1">
      <c r="A60" s="944" t="s">
        <v>577</v>
      </c>
      <c r="B60" s="945"/>
      <c r="C60" s="945"/>
      <c r="D60" s="946"/>
      <c r="E60" s="945" t="s">
        <v>578</v>
      </c>
      <c r="F60" s="945"/>
      <c r="G60" s="945"/>
      <c r="H60" s="945"/>
      <c r="I60" s="945"/>
      <c r="J60" s="952"/>
    </row>
    <row r="61" spans="1:10" ht="16.899999999999999" hidden="1">
      <c r="A61" s="73"/>
      <c r="B61" s="74"/>
      <c r="C61" s="74"/>
      <c r="D61" s="75"/>
      <c r="E61" s="76" t="s">
        <v>599</v>
      </c>
      <c r="F61" s="76"/>
      <c r="G61" s="76"/>
      <c r="H61" s="67"/>
      <c r="I61" s="67"/>
      <c r="J61" s="77"/>
    </row>
    <row r="62" spans="1:10" ht="15.75" hidden="1">
      <c r="A62" s="78"/>
      <c r="B62" s="79"/>
      <c r="C62" s="79"/>
      <c r="D62" s="80"/>
      <c r="E62" s="76" t="s">
        <v>600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601</v>
      </c>
      <c r="F63" s="84"/>
      <c r="G63" s="79"/>
      <c r="H63" s="79"/>
      <c r="I63" s="79"/>
      <c r="J63" s="83"/>
    </row>
    <row r="64" spans="1:10" ht="15.75" hidden="1">
      <c r="A64" s="78"/>
      <c r="B64" s="79"/>
      <c r="C64" s="79"/>
      <c r="D64" s="80"/>
      <c r="E64" s="76" t="s">
        <v>602</v>
      </c>
      <c r="F64" s="82"/>
      <c r="G64" s="82"/>
      <c r="H64" s="82"/>
      <c r="I64" s="82"/>
      <c r="J64" s="83"/>
    </row>
    <row r="65" spans="1:10" ht="15.75" hidden="1">
      <c r="A65" s="78"/>
      <c r="B65" s="79"/>
      <c r="C65" s="79"/>
      <c r="D65" s="80"/>
      <c r="E65" s="76" t="s">
        <v>603</v>
      </c>
      <c r="F65" s="84"/>
      <c r="G65" s="79"/>
      <c r="H65" s="79"/>
      <c r="I65" s="79"/>
      <c r="J65" s="83"/>
    </row>
    <row r="66" spans="1:10" hidden="1">
      <c r="A66" s="78"/>
      <c r="B66" s="79"/>
      <c r="C66" s="79"/>
      <c r="D66" s="80"/>
      <c r="E66" s="69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 t="s">
        <v>604</v>
      </c>
      <c r="F67" s="84"/>
      <c r="G67" s="79"/>
      <c r="H67" s="79"/>
      <c r="I67" s="79"/>
      <c r="J67" s="83"/>
    </row>
    <row r="68" spans="1:10" ht="15.75" hidden="1">
      <c r="A68" s="78"/>
      <c r="B68" s="79"/>
      <c r="C68" s="79"/>
      <c r="D68" s="80"/>
      <c r="E68" s="76"/>
      <c r="F68" s="84"/>
      <c r="G68" s="79"/>
      <c r="H68" s="79"/>
      <c r="I68" s="79"/>
      <c r="J68" s="83"/>
    </row>
    <row r="69" spans="1:10" ht="15.75" hidden="1">
      <c r="A69" s="78"/>
      <c r="B69" s="79"/>
      <c r="C69" s="79"/>
      <c r="D69" s="80"/>
      <c r="E69" s="76"/>
      <c r="F69" s="84"/>
      <c r="G69" s="79"/>
      <c r="H69" s="79"/>
      <c r="I69" s="79"/>
      <c r="J69" s="83"/>
    </row>
    <row r="70" spans="1:10" ht="16.899999999999999" hidden="1">
      <c r="A70" s="937"/>
      <c r="B70" s="938"/>
      <c r="C70" s="938"/>
      <c r="D70" s="939"/>
      <c r="E70" s="76"/>
      <c r="F70" s="89"/>
      <c r="G70" s="89"/>
      <c r="H70" s="89"/>
      <c r="I70" s="89"/>
      <c r="J70" s="83"/>
    </row>
    <row r="71" spans="1:10" ht="16.899999999999999" hidden="1">
      <c r="A71" s="73"/>
      <c r="B71" s="74"/>
      <c r="C71" s="74"/>
      <c r="D71" s="85"/>
      <c r="E71" s="96"/>
      <c r="F71" s="89"/>
      <c r="G71" s="89"/>
      <c r="H71" s="89"/>
      <c r="I71" s="89"/>
      <c r="J71" s="83"/>
    </row>
    <row r="72" spans="1:10" ht="15.75" hidden="1">
      <c r="A72" s="78"/>
      <c r="B72" s="79"/>
      <c r="C72" s="79"/>
      <c r="D72" s="80"/>
      <c r="E72" s="69"/>
      <c r="F72" s="88"/>
      <c r="G72" s="88"/>
      <c r="H72" s="88"/>
      <c r="I72" s="88"/>
      <c r="J72" s="83"/>
    </row>
    <row r="73" spans="1:10" ht="16.149999999999999" hidden="1" thickBot="1">
      <c r="A73" s="90"/>
      <c r="B73" s="91"/>
      <c r="C73" s="91"/>
      <c r="D73" s="92"/>
      <c r="E73" s="93"/>
      <c r="F73" s="94"/>
      <c r="G73" s="94"/>
      <c r="H73" s="94"/>
      <c r="I73" s="94"/>
      <c r="J73" s="95"/>
    </row>
    <row r="74" spans="1:10" ht="16.149999999999999" hidden="1" thickBot="1">
      <c r="A74" s="70"/>
      <c r="B74" s="71"/>
      <c r="C74" s="71"/>
      <c r="D74" s="71"/>
      <c r="E74" s="71"/>
      <c r="F74" s="72"/>
      <c r="G74" s="71"/>
      <c r="H74" s="71"/>
      <c r="I74" s="71"/>
      <c r="J74" s="126" t="s">
        <v>605</v>
      </c>
    </row>
  </sheetData>
  <mergeCells count="29">
    <mergeCell ref="C26:D26"/>
    <mergeCell ref="F26:H26"/>
    <mergeCell ref="A70:D70"/>
    <mergeCell ref="F27:H27"/>
    <mergeCell ref="A29:J29"/>
    <mergeCell ref="A30:D30"/>
    <mergeCell ref="E30:J30"/>
    <mergeCell ref="A40:D40"/>
    <mergeCell ref="A42:D42"/>
    <mergeCell ref="A53:D53"/>
    <mergeCell ref="A55:D55"/>
    <mergeCell ref="A59:J59"/>
    <mergeCell ref="A60:D60"/>
    <mergeCell ref="E60:J60"/>
    <mergeCell ref="A1:J1"/>
    <mergeCell ref="A3:A11"/>
    <mergeCell ref="B3:J11"/>
    <mergeCell ref="A12:A25"/>
    <mergeCell ref="B12:B13"/>
    <mergeCell ref="C12:C13"/>
    <mergeCell ref="D12:E12"/>
    <mergeCell ref="F12:F13"/>
    <mergeCell ref="G12:G13"/>
    <mergeCell ref="H12:H13"/>
    <mergeCell ref="I12:I13"/>
    <mergeCell ref="J12:J13"/>
    <mergeCell ref="B19:B21"/>
    <mergeCell ref="B22:B25"/>
    <mergeCell ref="B14:B18"/>
  </mergeCells>
  <phoneticPr fontId="2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 codeName="Sheet144">
    <tabColor theme="3" tint="-0.499984740745262"/>
  </sheetPr>
  <dimension ref="A1:J70"/>
  <sheetViews>
    <sheetView showGridLines="0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1092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899999999999999">
      <c r="A14" s="967"/>
      <c r="B14" s="433"/>
      <c r="C14" s="175"/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/>
      <c r="G14" s="131" t="str">
        <f>IFERROR(VLOOKUP(#REF!,MasterSheet!$B$6:$N$150,10,),"n/a")</f>
        <v>n/a</v>
      </c>
      <c r="H14" s="134" t="str">
        <f>IFERROR(VLOOKUP(C14,MasterSheet!$B$6:$N$150,11,),"N/a")</f>
        <v>N/a</v>
      </c>
      <c r="I14" s="134" t="str">
        <f>IFERROR(F14*H14,"-")</f>
        <v>-</v>
      </c>
      <c r="J14" s="169"/>
    </row>
    <row r="15" spans="1:10" ht="16.899999999999999">
      <c r="A15" s="967"/>
      <c r="B15" s="974" t="s">
        <v>622</v>
      </c>
      <c r="C15" s="175" t="s">
        <v>1090</v>
      </c>
      <c r="D15" s="140" t="str">
        <f>VLOOKUP(C15,CK!$B$8:$L$283,3,)</f>
        <v>공기밥</v>
      </c>
      <c r="E15" s="140" t="str">
        <f>VLOOKUP(C15,CK!$B$8:$L$283,4,)</f>
        <v>Steamed Rice</v>
      </c>
      <c r="F15" s="239">
        <v>180</v>
      </c>
      <c r="G15" s="141" t="str">
        <f>VLOOKUP(C15,CK!$B$8:$L$283,9,)</f>
        <v>g</v>
      </c>
      <c r="H15" s="324">
        <f>VLOOKUP(C15,CK!$B$8:$L$283,10,)</f>
        <v>4.833333333333333</v>
      </c>
      <c r="I15" s="324">
        <f>IFERROR(F15*H15,"-")</f>
        <v>870</v>
      </c>
      <c r="J15" s="170"/>
    </row>
    <row r="16" spans="1:10" ht="16.899999999999999">
      <c r="A16" s="967"/>
      <c r="B16" s="974"/>
      <c r="C16" s="175"/>
      <c r="D16" s="140"/>
      <c r="E16" s="140"/>
      <c r="F16" s="176"/>
      <c r="G16" s="141"/>
      <c r="H16" s="142"/>
      <c r="I16" s="142"/>
      <c r="J16" s="170"/>
    </row>
    <row r="17" spans="1:10" ht="16.899999999999999">
      <c r="A17" s="967"/>
      <c r="B17" s="974"/>
      <c r="C17" s="175"/>
      <c r="D17" s="140"/>
      <c r="E17" s="140"/>
      <c r="F17" s="176"/>
      <c r="G17" s="141"/>
      <c r="H17" s="141"/>
      <c r="I17" s="141"/>
      <c r="J17" s="170"/>
    </row>
    <row r="18" spans="1:10" ht="16.899999999999999">
      <c r="A18" s="967"/>
      <c r="B18" s="975" t="s">
        <v>623</v>
      </c>
      <c r="C18" s="175"/>
      <c r="D18" s="145"/>
      <c r="E18" s="145"/>
      <c r="F18" s="176"/>
      <c r="G18" s="147"/>
      <c r="H18" s="147"/>
      <c r="I18" s="147"/>
      <c r="J18" s="171"/>
    </row>
    <row r="19" spans="1:10" ht="16.899999999999999">
      <c r="A19" s="967"/>
      <c r="B19" s="976"/>
      <c r="C19" s="175"/>
      <c r="D19" s="145"/>
      <c r="E19" s="145"/>
      <c r="F19" s="176"/>
      <c r="G19" s="147"/>
      <c r="H19" s="147"/>
      <c r="I19" s="147"/>
      <c r="J19" s="171"/>
    </row>
    <row r="20" spans="1:10" ht="16.899999999999999">
      <c r="A20" s="967"/>
      <c r="B20" s="976"/>
      <c r="C20" s="175"/>
      <c r="D20" s="149"/>
      <c r="E20" s="149"/>
      <c r="F20" s="176"/>
      <c r="G20" s="147"/>
      <c r="H20" s="147"/>
      <c r="I20" s="147"/>
      <c r="J20" s="171"/>
    </row>
    <row r="21" spans="1:10" ht="17.25" thickBot="1">
      <c r="A21" s="968"/>
      <c r="B21" s="977"/>
      <c r="C21" s="241"/>
      <c r="D21" s="155"/>
      <c r="E21" s="154"/>
      <c r="F21" s="242"/>
      <c r="G21" s="152"/>
      <c r="H21" s="152"/>
      <c r="I21" s="152"/>
      <c r="J21" s="172"/>
    </row>
    <row r="22" spans="1:10" ht="17.25" thickBot="1">
      <c r="A22" s="156"/>
      <c r="B22" s="157" t="s">
        <v>614</v>
      </c>
      <c r="C22" s="935" t="s">
        <v>624</v>
      </c>
      <c r="D22" s="935"/>
      <c r="E22" s="339">
        <f>SUM(I14:I17)</f>
        <v>870</v>
      </c>
      <c r="F22" s="989" t="s">
        <v>625</v>
      </c>
      <c r="G22" s="989"/>
      <c r="H22" s="989"/>
      <c r="I22" s="341">
        <f>SUM(I14:I21)</f>
        <v>870</v>
      </c>
      <c r="J22" s="330" t="s">
        <v>790</v>
      </c>
    </row>
    <row r="23" spans="1:10" ht="17.25" thickBot="1">
      <c r="A23" s="156"/>
      <c r="B23" s="157"/>
      <c r="C23" s="158"/>
      <c r="D23" s="159"/>
      <c r="E23" s="159"/>
      <c r="F23" s="940" t="s">
        <v>789</v>
      </c>
      <c r="G23" s="940"/>
      <c r="H23" s="940"/>
      <c r="I23" s="237">
        <f>INDEX(COSTING!$D$1:$D$943,MATCH($B$2,COSTING!$C$1:$C$943,0))</f>
        <v>180</v>
      </c>
      <c r="J23" s="331">
        <f>IFERROR((I22/I23),"-")</f>
        <v>4.833333333333333</v>
      </c>
    </row>
    <row r="24" spans="1:10" ht="16.149999999999999" thickBot="1">
      <c r="A24" s="70"/>
      <c r="B24" s="97"/>
      <c r="C24" s="97"/>
      <c r="D24" s="97"/>
      <c r="E24" s="97"/>
      <c r="F24" s="98"/>
      <c r="G24" s="97"/>
      <c r="H24" s="97"/>
      <c r="I24" s="97"/>
      <c r="J24" s="127" t="s">
        <v>605</v>
      </c>
    </row>
    <row r="25" spans="1:10" ht="19.149999999999999" hidden="1">
      <c r="A25" s="941" t="s">
        <v>576</v>
      </c>
      <c r="B25" s="942"/>
      <c r="C25" s="942"/>
      <c r="D25" s="942"/>
      <c r="E25" s="942"/>
      <c r="F25" s="942"/>
      <c r="G25" s="942"/>
      <c r="H25" s="942"/>
      <c r="I25" s="942"/>
      <c r="J25" s="943"/>
    </row>
    <row r="26" spans="1:10" ht="16.899999999999999" hidden="1">
      <c r="A26" s="944" t="s">
        <v>577</v>
      </c>
      <c r="B26" s="945"/>
      <c r="C26" s="945"/>
      <c r="D26" s="946"/>
      <c r="E26" s="947" t="s">
        <v>578</v>
      </c>
      <c r="F26" s="947"/>
      <c r="G26" s="947"/>
      <c r="H26" s="947"/>
      <c r="I26" s="947"/>
      <c r="J26" s="948"/>
    </row>
    <row r="27" spans="1:10" ht="16.899999999999999" hidden="1">
      <c r="A27" s="73"/>
      <c r="B27" s="74"/>
      <c r="C27" s="74"/>
      <c r="D27" s="75"/>
      <c r="E27" s="76" t="s">
        <v>579</v>
      </c>
      <c r="F27" s="76"/>
      <c r="G27" s="67"/>
      <c r="H27" s="67"/>
      <c r="I27" s="67"/>
      <c r="J27" s="77"/>
    </row>
    <row r="28" spans="1:10" ht="15.75" hidden="1">
      <c r="A28" s="78"/>
      <c r="B28" s="79"/>
      <c r="C28" s="79"/>
      <c r="D28" s="80"/>
      <c r="E28" s="81" t="s">
        <v>580</v>
      </c>
      <c r="F28" s="82"/>
      <c r="G28" s="82"/>
      <c r="H28" s="82"/>
      <c r="I28" s="82"/>
      <c r="J28" s="83"/>
    </row>
    <row r="29" spans="1:10" ht="15.75" hidden="1">
      <c r="A29" s="78"/>
      <c r="B29" s="79"/>
      <c r="C29" s="79"/>
      <c r="D29" s="80"/>
      <c r="E29" s="76"/>
      <c r="F29" s="84"/>
      <c r="G29" s="79"/>
      <c r="H29" s="79"/>
      <c r="I29" s="79"/>
      <c r="J29" s="83"/>
    </row>
    <row r="30" spans="1:10" ht="15.75" hidden="1">
      <c r="A30" s="78"/>
      <c r="B30" s="79"/>
      <c r="C30" s="79"/>
      <c r="D30" s="80"/>
      <c r="E30" s="76" t="s">
        <v>581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 t="s">
        <v>582</v>
      </c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583</v>
      </c>
      <c r="F32" s="84"/>
      <c r="G32" s="79"/>
      <c r="H32" s="79"/>
      <c r="I32" s="79"/>
      <c r="J32" s="83"/>
    </row>
    <row r="33" spans="1:10" ht="15.75" hidden="1">
      <c r="A33" s="78"/>
      <c r="B33" s="79"/>
      <c r="C33" s="79"/>
      <c r="D33" s="80"/>
      <c r="E33" s="76"/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584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 t="s">
        <v>585</v>
      </c>
      <c r="F35" s="84"/>
      <c r="G35" s="79"/>
      <c r="H35" s="79"/>
      <c r="I35" s="79"/>
      <c r="J35" s="83"/>
    </row>
    <row r="36" spans="1:10" ht="16.899999999999999" hidden="1">
      <c r="A36" s="937"/>
      <c r="B36" s="938"/>
      <c r="C36" s="938"/>
      <c r="D36" s="939"/>
      <c r="E36" s="76" t="s">
        <v>586</v>
      </c>
      <c r="F36" s="86"/>
      <c r="G36" s="79"/>
      <c r="H36" s="79"/>
      <c r="I36" s="79"/>
      <c r="J36" s="83"/>
    </row>
    <row r="37" spans="1:10" ht="16.899999999999999" hidden="1">
      <c r="A37" s="73"/>
      <c r="B37" s="74"/>
      <c r="C37" s="74"/>
      <c r="D37" s="85"/>
      <c r="E37" s="76" t="s">
        <v>587</v>
      </c>
      <c r="F37" s="86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588</v>
      </c>
      <c r="F38" s="84"/>
      <c r="G38" s="79"/>
      <c r="H38" s="79"/>
      <c r="I38" s="79"/>
      <c r="J38" s="87"/>
    </row>
    <row r="39" spans="1:10" ht="16.899999999999999" hidden="1">
      <c r="A39" s="73"/>
      <c r="B39" s="74"/>
      <c r="C39" s="74"/>
      <c r="D39" s="85"/>
      <c r="E39" s="76" t="s">
        <v>589</v>
      </c>
      <c r="F39" s="84"/>
      <c r="G39" s="79"/>
      <c r="H39" s="79"/>
      <c r="I39" s="79"/>
      <c r="J39" s="87"/>
    </row>
    <row r="40" spans="1:10" ht="16.899999999999999" hidden="1">
      <c r="A40" s="73"/>
      <c r="B40" s="74"/>
      <c r="C40" s="74"/>
      <c r="D40" s="85"/>
      <c r="E40" s="76" t="s">
        <v>590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88"/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591</v>
      </c>
      <c r="F42" s="84"/>
      <c r="G42" s="79"/>
      <c r="H42" s="79"/>
      <c r="I42" s="79"/>
      <c r="J42" s="87"/>
    </row>
    <row r="43" spans="1:10" ht="16.899999999999999" hidden="1">
      <c r="A43" s="78"/>
      <c r="B43" s="79"/>
      <c r="C43" s="79"/>
      <c r="D43" s="80"/>
      <c r="E43" s="76" t="s">
        <v>592</v>
      </c>
      <c r="F43" s="84"/>
      <c r="G43" s="79"/>
      <c r="H43" s="79"/>
      <c r="I43" s="79"/>
      <c r="J43" s="87"/>
    </row>
    <row r="44" spans="1:10" hidden="1">
      <c r="A44" s="78"/>
      <c r="B44" s="79"/>
      <c r="C44" s="79"/>
      <c r="D44" s="80"/>
      <c r="E44" s="69"/>
      <c r="F44" s="84"/>
      <c r="G44" s="79"/>
      <c r="H44" s="79"/>
      <c r="I44" s="79"/>
      <c r="J44" s="83"/>
    </row>
    <row r="45" spans="1:10" ht="15.75" hidden="1">
      <c r="A45" s="78"/>
      <c r="B45" s="79"/>
      <c r="C45" s="79"/>
      <c r="D45" s="80"/>
      <c r="E45" s="76" t="s">
        <v>593</v>
      </c>
      <c r="F45" s="84"/>
      <c r="G45" s="79"/>
      <c r="H45" s="79"/>
      <c r="I45" s="79"/>
      <c r="J45" s="83"/>
    </row>
    <row r="46" spans="1:10" ht="15.75" hidden="1">
      <c r="A46" s="78"/>
      <c r="B46" s="79"/>
      <c r="C46" s="79"/>
      <c r="D46" s="80"/>
      <c r="E46" s="76" t="s">
        <v>594</v>
      </c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595</v>
      </c>
      <c r="F47" s="88"/>
      <c r="G47" s="88"/>
      <c r="H47" s="88"/>
      <c r="I47" s="88"/>
      <c r="J47" s="83"/>
    </row>
    <row r="48" spans="1:10" ht="15.75" hidden="1">
      <c r="A48" s="78"/>
      <c r="B48" s="79"/>
      <c r="C48" s="79"/>
      <c r="D48" s="80"/>
      <c r="E48" s="76" t="s">
        <v>596</v>
      </c>
      <c r="F48" s="88"/>
      <c r="G48" s="88"/>
      <c r="H48" s="88"/>
      <c r="I48" s="88"/>
      <c r="J48" s="83"/>
    </row>
    <row r="49" spans="1:10" ht="16.899999999999999" hidden="1">
      <c r="A49" s="937"/>
      <c r="B49" s="938"/>
      <c r="C49" s="938"/>
      <c r="D49" s="939"/>
      <c r="E49" s="76" t="s">
        <v>597</v>
      </c>
      <c r="F49" s="89"/>
      <c r="G49" s="89"/>
      <c r="H49" s="89"/>
      <c r="I49" s="89"/>
      <c r="J49" s="83"/>
    </row>
    <row r="50" spans="1:10" ht="16.899999999999999" hidden="1">
      <c r="A50" s="73"/>
      <c r="B50" s="74"/>
      <c r="C50" s="74"/>
      <c r="D50" s="85"/>
      <c r="E50" s="76" t="s">
        <v>598</v>
      </c>
      <c r="F50" s="89"/>
      <c r="G50" s="89"/>
      <c r="H50" s="89"/>
      <c r="I50" s="89"/>
      <c r="J50" s="83"/>
    </row>
    <row r="51" spans="1:10" ht="16.899999999999999" hidden="1">
      <c r="A51" s="937"/>
      <c r="B51" s="938"/>
      <c r="C51" s="938"/>
      <c r="D51" s="939"/>
      <c r="E51" s="69"/>
      <c r="F51" s="89"/>
      <c r="G51" s="89"/>
      <c r="H51" s="89"/>
      <c r="I51" s="89"/>
      <c r="J51" s="83"/>
    </row>
    <row r="52" spans="1:10" ht="15.75" hidden="1">
      <c r="A52" s="78"/>
      <c r="B52" s="79"/>
      <c r="C52" s="79"/>
      <c r="D52" s="80"/>
      <c r="E52" s="69"/>
      <c r="F52" s="88"/>
      <c r="G52" s="88"/>
      <c r="H52" s="88"/>
      <c r="I52" s="88"/>
      <c r="J52" s="83"/>
    </row>
    <row r="53" spans="1:10" ht="16.149999999999999" hidden="1" thickBot="1">
      <c r="A53" s="90"/>
      <c r="B53" s="91"/>
      <c r="C53" s="91"/>
      <c r="D53" s="92"/>
      <c r="E53" s="93"/>
      <c r="F53" s="94"/>
      <c r="G53" s="94"/>
      <c r="H53" s="94"/>
      <c r="I53" s="94"/>
      <c r="J53" s="95"/>
    </row>
    <row r="54" spans="1:10" ht="16.149999999999999" hidden="1" thickBot="1">
      <c r="A54" s="70"/>
      <c r="B54" s="71"/>
      <c r="C54" s="71"/>
      <c r="D54" s="71"/>
      <c r="E54" s="71"/>
      <c r="F54" s="72"/>
      <c r="G54" s="71"/>
      <c r="H54" s="71"/>
      <c r="I54" s="71"/>
      <c r="J54" s="126" t="s">
        <v>605</v>
      </c>
    </row>
    <row r="55" spans="1:10" ht="19.149999999999999" hidden="1">
      <c r="A55" s="949" t="s">
        <v>576</v>
      </c>
      <c r="B55" s="950"/>
      <c r="C55" s="950"/>
      <c r="D55" s="950"/>
      <c r="E55" s="950"/>
      <c r="F55" s="950"/>
      <c r="G55" s="950"/>
      <c r="H55" s="950"/>
      <c r="I55" s="950"/>
      <c r="J55" s="951"/>
    </row>
    <row r="56" spans="1:10" ht="16.899999999999999" hidden="1">
      <c r="A56" s="944" t="s">
        <v>577</v>
      </c>
      <c r="B56" s="945"/>
      <c r="C56" s="945"/>
      <c r="D56" s="946"/>
      <c r="E56" s="945" t="s">
        <v>578</v>
      </c>
      <c r="F56" s="945"/>
      <c r="G56" s="945"/>
      <c r="H56" s="945"/>
      <c r="I56" s="945"/>
      <c r="J56" s="952"/>
    </row>
    <row r="57" spans="1:10" ht="16.899999999999999" hidden="1">
      <c r="A57" s="73"/>
      <c r="B57" s="74"/>
      <c r="C57" s="74"/>
      <c r="D57" s="75"/>
      <c r="E57" s="76" t="s">
        <v>599</v>
      </c>
      <c r="F57" s="76"/>
      <c r="G57" s="76"/>
      <c r="H57" s="67"/>
      <c r="I57" s="67"/>
      <c r="J57" s="77"/>
    </row>
    <row r="58" spans="1:10" ht="15.75" hidden="1">
      <c r="A58" s="78"/>
      <c r="B58" s="79"/>
      <c r="C58" s="79"/>
      <c r="D58" s="80"/>
      <c r="E58" s="76" t="s">
        <v>600</v>
      </c>
      <c r="F58" s="82"/>
      <c r="G58" s="82"/>
      <c r="H58" s="82"/>
      <c r="I58" s="82"/>
      <c r="J58" s="83"/>
    </row>
    <row r="59" spans="1:10" ht="15.75" hidden="1">
      <c r="A59" s="78"/>
      <c r="B59" s="79"/>
      <c r="C59" s="79"/>
      <c r="D59" s="80"/>
      <c r="E59" s="76" t="s">
        <v>601</v>
      </c>
      <c r="F59" s="84"/>
      <c r="G59" s="79"/>
      <c r="H59" s="79"/>
      <c r="I59" s="79"/>
      <c r="J59" s="83"/>
    </row>
    <row r="60" spans="1:10" ht="15.75" hidden="1">
      <c r="A60" s="78"/>
      <c r="B60" s="79"/>
      <c r="C60" s="79"/>
      <c r="D60" s="80"/>
      <c r="E60" s="76" t="s">
        <v>602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603</v>
      </c>
      <c r="F61" s="84"/>
      <c r="G61" s="79"/>
      <c r="H61" s="79"/>
      <c r="I61" s="79"/>
      <c r="J61" s="83"/>
    </row>
    <row r="62" spans="1:10" hidden="1">
      <c r="A62" s="78"/>
      <c r="B62" s="79"/>
      <c r="C62" s="79"/>
      <c r="D62" s="80"/>
      <c r="E62" s="69"/>
      <c r="F62" s="84"/>
      <c r="G62" s="79"/>
      <c r="H62" s="79"/>
      <c r="I62" s="79"/>
      <c r="J62" s="83"/>
    </row>
    <row r="63" spans="1:10" ht="15.75" hidden="1">
      <c r="A63" s="78"/>
      <c r="B63" s="79"/>
      <c r="C63" s="79"/>
      <c r="D63" s="80"/>
      <c r="E63" s="76" t="s">
        <v>604</v>
      </c>
      <c r="F63" s="84"/>
      <c r="G63" s="79"/>
      <c r="H63" s="79"/>
      <c r="I63" s="79"/>
      <c r="J63" s="83"/>
    </row>
    <row r="64" spans="1:10" ht="15.75" hidden="1">
      <c r="A64" s="78"/>
      <c r="B64" s="79"/>
      <c r="C64" s="79"/>
      <c r="D64" s="80"/>
      <c r="E64" s="76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/>
      <c r="F65" s="84"/>
      <c r="G65" s="79"/>
      <c r="H65" s="79"/>
      <c r="I65" s="79"/>
      <c r="J65" s="83"/>
    </row>
    <row r="66" spans="1:10" ht="16.899999999999999" hidden="1">
      <c r="A66" s="937"/>
      <c r="B66" s="938"/>
      <c r="C66" s="938"/>
      <c r="D66" s="939"/>
      <c r="E66" s="76"/>
      <c r="F66" s="89"/>
      <c r="G66" s="89"/>
      <c r="H66" s="89"/>
      <c r="I66" s="89"/>
      <c r="J66" s="83"/>
    </row>
    <row r="67" spans="1:10" ht="16.899999999999999" hidden="1">
      <c r="A67" s="73"/>
      <c r="B67" s="74"/>
      <c r="C67" s="74"/>
      <c r="D67" s="85"/>
      <c r="E67" s="96"/>
      <c r="F67" s="89"/>
      <c r="G67" s="89"/>
      <c r="H67" s="89"/>
      <c r="I67" s="89"/>
      <c r="J67" s="83"/>
    </row>
    <row r="68" spans="1:10" ht="15.75" hidden="1">
      <c r="A68" s="78"/>
      <c r="B68" s="79"/>
      <c r="C68" s="79"/>
      <c r="D68" s="80"/>
      <c r="E68" s="69"/>
      <c r="F68" s="88"/>
      <c r="G68" s="88"/>
      <c r="H68" s="88"/>
      <c r="I68" s="88"/>
      <c r="J68" s="83"/>
    </row>
    <row r="69" spans="1:10" ht="16.149999999999999" hidden="1" thickBot="1">
      <c r="A69" s="90"/>
      <c r="B69" s="91"/>
      <c r="C69" s="91"/>
      <c r="D69" s="92"/>
      <c r="E69" s="93"/>
      <c r="F69" s="94"/>
      <c r="G69" s="94"/>
      <c r="H69" s="94"/>
      <c r="I69" s="94"/>
      <c r="J69" s="95"/>
    </row>
    <row r="70" spans="1:10" ht="16.149999999999999" hidden="1" thickBot="1">
      <c r="A70" s="70"/>
      <c r="B70" s="71"/>
      <c r="C70" s="71"/>
      <c r="D70" s="71"/>
      <c r="E70" s="71"/>
      <c r="F70" s="72"/>
      <c r="G70" s="71"/>
      <c r="H70" s="71"/>
      <c r="I70" s="71"/>
      <c r="J70" s="126" t="s">
        <v>605</v>
      </c>
    </row>
  </sheetData>
  <mergeCells count="29">
    <mergeCell ref="C22:D22"/>
    <mergeCell ref="F22:H22"/>
    <mergeCell ref="A66:D66"/>
    <mergeCell ref="F23:H23"/>
    <mergeCell ref="A25:J25"/>
    <mergeCell ref="A26:D26"/>
    <mergeCell ref="E26:J26"/>
    <mergeCell ref="A36:D36"/>
    <mergeCell ref="A38:D38"/>
    <mergeCell ref="A49:D49"/>
    <mergeCell ref="A51:D51"/>
    <mergeCell ref="A55:J55"/>
    <mergeCell ref="A56:D56"/>
    <mergeCell ref="E56:J56"/>
    <mergeCell ref="A1:J1"/>
    <mergeCell ref="A3:A11"/>
    <mergeCell ref="B3:J11"/>
    <mergeCell ref="A12:A21"/>
    <mergeCell ref="B12:B13"/>
    <mergeCell ref="C12:C13"/>
    <mergeCell ref="D12:E12"/>
    <mergeCell ref="F12:F13"/>
    <mergeCell ref="G12:G13"/>
    <mergeCell ref="H12:H13"/>
    <mergeCell ref="I12:I13"/>
    <mergeCell ref="J12:J13"/>
    <mergeCell ref="B15:B17"/>
    <mergeCell ref="B18:B21"/>
    <mergeCell ref="B2:J2"/>
  </mergeCells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0CD7FE-3740-464E-BDE0-F76A892E4899}">
  <sheetPr>
    <tabColor theme="1"/>
  </sheetPr>
  <dimension ref="A1:J72"/>
  <sheetViews>
    <sheetView showGridLines="0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1293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899999999999999">
      <c r="A14" s="967"/>
      <c r="B14" s="973"/>
      <c r="C14" s="175"/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/>
      <c r="G14" s="131" t="str">
        <f>IFERROR(VLOOKUP(#REF!,MasterSheet!$B$6:$N$150,10,),"n/a")</f>
        <v>n/a</v>
      </c>
      <c r="H14" s="323" t="str">
        <f>IFERROR(VLOOKUP(C14,MasterSheet!$B$6:$N$150,11,),"N/a")</f>
        <v>N/a</v>
      </c>
      <c r="I14" s="323" t="str">
        <f>IFERROR(F14*H14,"-")</f>
        <v>-</v>
      </c>
      <c r="J14" s="167"/>
    </row>
    <row r="15" spans="1:10" ht="16.899999999999999">
      <c r="A15" s="967"/>
      <c r="B15" s="973"/>
      <c r="C15" s="175"/>
      <c r="D15" s="130" t="str">
        <f>IFERROR(VLOOKUP(C15,MasterSheet!$B$6:$N$150,2,),"n/a")</f>
        <v>n/a</v>
      </c>
      <c r="E15" s="130" t="str">
        <f>IFERROR(VLOOKUP(C15,MasterSheet!$B$6:$N$150,3,),"n/a")</f>
        <v>n/a</v>
      </c>
      <c r="F15" s="176"/>
      <c r="G15" s="131" t="str">
        <f>IFERROR(VLOOKUP(#REF!,MasterSheet!$B$6:$N$150,10,),"n/a")</f>
        <v>n/a</v>
      </c>
      <c r="H15" s="323" t="str">
        <f>IFERROR(VLOOKUP(C15,MasterSheet!$B$6:$N$150,11,),"N/a")</f>
        <v>N/a</v>
      </c>
      <c r="I15" s="323" t="str">
        <f>IFERROR(F15*H15,"-")</f>
        <v>-</v>
      </c>
      <c r="J15" s="167"/>
    </row>
    <row r="16" spans="1:10" ht="16.899999999999999">
      <c r="A16" s="967"/>
      <c r="B16" s="973"/>
      <c r="C16" s="175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176"/>
      <c r="G16" s="131" t="str">
        <f>IFERROR(VLOOKUP(C16,MasterSheet!B18:N161,10,),"N/a")</f>
        <v>N/a</v>
      </c>
      <c r="H16" s="323" t="str">
        <f>IFERROR(VLOOKUP(C16,MasterSheet!$B$6:$N$150,11,),"N/a")</f>
        <v>N/a</v>
      </c>
      <c r="I16" s="323" t="str">
        <f>IFERROR(F16*H16,"-")</f>
        <v>-</v>
      </c>
      <c r="J16" s="167"/>
    </row>
    <row r="17" spans="1:10" ht="16.899999999999999">
      <c r="A17" s="967"/>
      <c r="B17" s="974" t="s">
        <v>622</v>
      </c>
      <c r="C17" s="175" t="s">
        <v>1267</v>
      </c>
      <c r="D17" s="140" t="str">
        <f>VLOOKUP(C17,CK!$B$8:$L$283,3,)</f>
        <v>모짜렐라 치즈</v>
      </c>
      <c r="E17" s="140" t="e">
        <f>VLOOKUP(D17,CK!$B$8:$L$283,3,)</f>
        <v>#N/A</v>
      </c>
      <c r="F17" s="176">
        <v>20</v>
      </c>
      <c r="G17" s="141" t="s">
        <v>61</v>
      </c>
      <c r="H17" s="324">
        <f>VLOOKUP(C17,CK!$B$8:$L$283,10,)</f>
        <v>153.01</v>
      </c>
      <c r="I17" s="324">
        <f>IFERROR(F17*H17,"-")</f>
        <v>3060.2</v>
      </c>
      <c r="J17" s="359"/>
    </row>
    <row r="18" spans="1:10" ht="16.899999999999999">
      <c r="A18" s="967"/>
      <c r="B18" s="974"/>
      <c r="C18" s="175"/>
      <c r="D18" s="140"/>
      <c r="E18" s="140"/>
      <c r="F18" s="176"/>
      <c r="G18" s="141"/>
      <c r="H18" s="324"/>
      <c r="I18" s="324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16.899999999999999">
      <c r="A20" s="967"/>
      <c r="B20" s="975" t="s">
        <v>623</v>
      </c>
      <c r="C20" s="175"/>
      <c r="D20" s="145"/>
      <c r="E20" s="145"/>
      <c r="F20" s="176"/>
      <c r="G20" s="147"/>
      <c r="H20" s="325"/>
      <c r="I20" s="325"/>
      <c r="J20" s="171"/>
    </row>
    <row r="21" spans="1:10" ht="16.899999999999999">
      <c r="A21" s="967"/>
      <c r="B21" s="976"/>
      <c r="C21" s="175"/>
      <c r="D21" s="145"/>
      <c r="E21" s="145"/>
      <c r="F21" s="176"/>
      <c r="G21" s="147"/>
      <c r="H21" s="325"/>
      <c r="I21" s="325"/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325"/>
      <c r="I22" s="325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342"/>
      <c r="I23" s="34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39">
        <f>SUM(I14:I19)</f>
        <v>3060.2</v>
      </c>
      <c r="F24" s="989" t="s">
        <v>625</v>
      </c>
      <c r="G24" s="989"/>
      <c r="H24" s="989"/>
      <c r="I24" s="341">
        <f>SUM(I14:I23)</f>
        <v>3060.2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237">
        <v>5000</v>
      </c>
      <c r="J25" s="331">
        <f>IFERROR((I24/I25),"-")</f>
        <v>0.61203999999999992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A68:D68"/>
    <mergeCell ref="A38:D38"/>
    <mergeCell ref="A40:D40"/>
    <mergeCell ref="A51:D51"/>
    <mergeCell ref="A53:D53"/>
    <mergeCell ref="A57:J57"/>
    <mergeCell ref="A58:D58"/>
    <mergeCell ref="E58:J58"/>
    <mergeCell ref="C24:D24"/>
    <mergeCell ref="F24:H24"/>
    <mergeCell ref="F25:H25"/>
    <mergeCell ref="A27:J27"/>
    <mergeCell ref="A28:D28"/>
    <mergeCell ref="E28:J28"/>
    <mergeCell ref="B20:B23"/>
    <mergeCell ref="A1:J1"/>
    <mergeCell ref="B2:J2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967383-828B-4135-BDF4-9630AA51C06F}">
  <sheetPr>
    <tabColor theme="3" tint="-0.499984740745262"/>
  </sheetPr>
  <dimension ref="A1:J72"/>
  <sheetViews>
    <sheetView showGridLines="0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1009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1230</v>
      </c>
      <c r="D14" s="130" t="str">
        <f>IFERROR(VLOOKUP(C14,MasterSheet!$B$6:$N$150,2,),"n/a")</f>
        <v>콘 플레이크</v>
      </c>
      <c r="E14" s="130" t="str">
        <f>IFERROR(VLOOKUP(C14,MasterSheet!$B$6:$N$150,3,),"n/a")</f>
        <v>Corn Flake</v>
      </c>
      <c r="F14" s="176">
        <v>5</v>
      </c>
      <c r="G14" s="131" t="str">
        <f>IFERROR(VLOOKUP(C14,MasterSheet!B6:N150,10,),"N/a")</f>
        <v>g</v>
      </c>
      <c r="H14" s="323">
        <f>IFERROR(VLOOKUP(C14,MasterSheet!$B$6:$N$150,11,),"N/a")</f>
        <v>111.11111111111111</v>
      </c>
      <c r="I14" s="323">
        <f>IFERROR(F14*H14,"-")</f>
        <v>555.55555555555554</v>
      </c>
      <c r="J14" s="166"/>
    </row>
    <row r="15" spans="1:10" ht="16.5" customHeight="1">
      <c r="A15" s="967"/>
      <c r="B15" s="973"/>
      <c r="C15" s="175" t="s">
        <v>1231</v>
      </c>
      <c r="D15" s="130" t="str">
        <f>IFERROR(VLOOKUP(C15,MasterSheet!$B$6:$N$150,2,),"n/a")</f>
        <v>딸기 시럽</v>
      </c>
      <c r="E15" s="130" t="str">
        <f>IFERROR(VLOOKUP(C15,MasterSheet!$B$6:$N$150,3,),"n/a")</f>
        <v>Strawberry Syrup</v>
      </c>
      <c r="F15" s="176">
        <v>5</v>
      </c>
      <c r="G15" s="131" t="str">
        <f>IFERROR(VLOOKUP($C$15,MasterSheet!$B$6:$N$150,10,),"n/a")</f>
        <v>g</v>
      </c>
      <c r="H15" s="323">
        <f>IFERROR(VLOOKUP(C15,MasterSheet!$B$6:$N$150,11,),"N/a")</f>
        <v>10.370370370370372</v>
      </c>
      <c r="I15" s="323">
        <f>IFERROR(F15*H15,"-")</f>
        <v>51.851851851851862</v>
      </c>
      <c r="J15" s="167"/>
    </row>
    <row r="16" spans="1:10" ht="16.899999999999999">
      <c r="A16" s="967"/>
      <c r="B16" s="973"/>
      <c r="C16" s="175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176"/>
      <c r="G16" s="131" t="str">
        <f>IFERROR(VLOOKUP($C$16,MasterSheet!$B$6:$N$150,10,),"n/a")</f>
        <v>n/a</v>
      </c>
      <c r="H16" s="323" t="str">
        <f>IFERROR(VLOOKUP(C16,MasterSheet!$B$6:$N$150,11,),"N/a")</f>
        <v>N/a</v>
      </c>
      <c r="I16" s="323" t="str">
        <f>IFERROR(F16*H16,"-")</f>
        <v>-</v>
      </c>
      <c r="J16" s="167"/>
    </row>
    <row r="17" spans="1:10" ht="16.899999999999999">
      <c r="A17" s="967"/>
      <c r="B17" s="974" t="s">
        <v>622</v>
      </c>
      <c r="C17" s="175" t="s">
        <v>1229</v>
      </c>
      <c r="D17" s="140" t="str">
        <f>VLOOKUP(C17,CK!$B$8:$L$83,3,)</f>
        <v xml:space="preserve">바닐라 아이스크림 </v>
      </c>
      <c r="E17" s="140" t="str">
        <f>VLOOKUP(C17,CK!$B$8:$L$83,4,)</f>
        <v>Sundae Ice Cream (Vanila)</v>
      </c>
      <c r="F17" s="245">
        <v>115</v>
      </c>
      <c r="G17" s="141" t="str">
        <f>VLOOKUP(C17,CK!$B$8:$L$83,9,)</f>
        <v>g</v>
      </c>
      <c r="H17" s="324">
        <f>VLOOKUP(C17,CK!$B$8:$L$83,10,)</f>
        <v>0</v>
      </c>
      <c r="I17" s="324">
        <f>IFERROR(F17*H17,"-")</f>
        <v>0</v>
      </c>
      <c r="J17" s="170"/>
    </row>
    <row r="18" spans="1:10" ht="16.899999999999999">
      <c r="A18" s="967"/>
      <c r="B18" s="974"/>
      <c r="C18" s="175"/>
      <c r="D18" s="140"/>
      <c r="E18" s="140"/>
      <c r="F18" s="176"/>
      <c r="G18" s="141"/>
      <c r="H18" s="324"/>
      <c r="I18" s="324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16.899999999999999">
      <c r="A20" s="967"/>
      <c r="B20" s="975" t="s">
        <v>623</v>
      </c>
      <c r="C20" s="175"/>
      <c r="D20" s="145"/>
      <c r="E20" s="145"/>
      <c r="F20" s="176"/>
      <c r="G20" s="147"/>
      <c r="H20" s="325"/>
      <c r="I20" s="325"/>
      <c r="J20" s="171"/>
    </row>
    <row r="21" spans="1:10" ht="16.899999999999999">
      <c r="A21" s="967"/>
      <c r="B21" s="976"/>
      <c r="C21" s="175"/>
      <c r="D21" s="145"/>
      <c r="E21" s="145"/>
      <c r="F21" s="176"/>
      <c r="G21" s="147"/>
      <c r="H21" s="325"/>
      <c r="I21" s="325"/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325"/>
      <c r="I22" s="325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342"/>
      <c r="I23" s="34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41">
        <f>SUM(I14:I19)</f>
        <v>607.40740740740739</v>
      </c>
      <c r="F24" s="988" t="s">
        <v>625</v>
      </c>
      <c r="G24" s="988"/>
      <c r="H24" s="988"/>
      <c r="I24" s="341">
        <f>SUM(I14:I23)</f>
        <v>607.40740740740739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237" t="e">
        <f>INDEX(COSTING!$D$1:$D$943,MATCH($B$2,COSTING!$C$1:$C$943,0))</f>
        <v>#N/A</v>
      </c>
      <c r="J25" s="331" t="str">
        <f>IFERROR((I24/I25),"-")</f>
        <v>-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B20:B23"/>
    <mergeCell ref="A1:J1"/>
    <mergeCell ref="B2:J2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  <mergeCell ref="C24:D24"/>
    <mergeCell ref="F24:H24"/>
    <mergeCell ref="F25:H25"/>
    <mergeCell ref="A27:J27"/>
    <mergeCell ref="A28:D28"/>
    <mergeCell ref="E28:J28"/>
    <mergeCell ref="A68:D68"/>
    <mergeCell ref="A38:D38"/>
    <mergeCell ref="A40:D40"/>
    <mergeCell ref="A51:D51"/>
    <mergeCell ref="A53:D53"/>
    <mergeCell ref="A57:J57"/>
    <mergeCell ref="A58:D58"/>
    <mergeCell ref="E58:J58"/>
  </mergeCells>
  <phoneticPr fontId="2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37DA43-829E-45C5-AE48-B3E0AE9A4FCB}">
  <sheetPr>
    <tabColor theme="3" tint="-0.499984740745262"/>
  </sheetPr>
  <dimension ref="A1:J72"/>
  <sheetViews>
    <sheetView showGridLines="0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1279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1232</v>
      </c>
      <c r="D14" s="130" t="str">
        <f>IFERROR(VLOOKUP(C14,MasterSheet!$B$6:$N$150,2,),"n/a")</f>
        <v>오레오 크럼블</v>
      </c>
      <c r="E14" s="130" t="str">
        <f>IFERROR(VLOOKUP(C14,MasterSheet!$B$6:$N$150,3,),"n/a")</f>
        <v>Oreo Crumble</v>
      </c>
      <c r="F14" s="176">
        <v>5</v>
      </c>
      <c r="G14" s="131" t="str">
        <f>IFERROR(VLOOKUP(C14,MasterSheet!B6:N150,10,),"N/a")</f>
        <v>g</v>
      </c>
      <c r="H14" s="323">
        <f>IFERROR(VLOOKUP(C14,MasterSheet!$B$6:$N$150,11,),"N/a")</f>
        <v>156.26262626262624</v>
      </c>
      <c r="I14" s="323">
        <f>IFERROR(F14*H14,"-")</f>
        <v>781.31313131313118</v>
      </c>
      <c r="J14" s="166"/>
    </row>
    <row r="15" spans="1:10" ht="16.5" customHeight="1">
      <c r="A15" s="967"/>
      <c r="B15" s="973"/>
      <c r="C15" s="175"/>
      <c r="D15" s="130" t="str">
        <f>IFERROR(VLOOKUP(C15,MasterSheet!$B$6:$N$150,2,),"n/a")</f>
        <v>n/a</v>
      </c>
      <c r="E15" s="130" t="str">
        <f>IFERROR(VLOOKUP(C15,MasterSheet!$B$6:$N$150,3,),"n/a")</f>
        <v>n/a</v>
      </c>
      <c r="F15" s="176">
        <f>F14*0.2</f>
        <v>1</v>
      </c>
      <c r="G15" s="131" t="str">
        <f>IFERROR(VLOOKUP($C$15,MasterSheet!$B$6:$N$150,10,),"n/a")</f>
        <v>n/a</v>
      </c>
      <c r="H15" s="323" t="str">
        <f>IFERROR(VLOOKUP(C15,MasterSheet!$B$6:$N$150,11,),"N/a")</f>
        <v>N/a</v>
      </c>
      <c r="I15" s="323" t="str">
        <f>IFERROR(F15*H15,"-")</f>
        <v>-</v>
      </c>
      <c r="J15" s="167" t="s">
        <v>1137</v>
      </c>
    </row>
    <row r="16" spans="1:10" ht="16.899999999999999">
      <c r="A16" s="967"/>
      <c r="B16" s="973"/>
      <c r="C16" s="175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176"/>
      <c r="G16" s="131" t="str">
        <f>IFERROR(VLOOKUP($C$16,MasterSheet!$B$6:$N$150,10,),"n/a")</f>
        <v>n/a</v>
      </c>
      <c r="H16" s="323" t="str">
        <f>IFERROR(VLOOKUP(C16,MasterSheet!$B$6:$N$150,11,),"N/a")</f>
        <v>N/a</v>
      </c>
      <c r="I16" s="323" t="str">
        <f>IFERROR(F16*H16,"-")</f>
        <v>-</v>
      </c>
      <c r="J16" s="167"/>
    </row>
    <row r="17" spans="1:10" ht="16.899999999999999">
      <c r="A17" s="967"/>
      <c r="B17" s="974" t="s">
        <v>622</v>
      </c>
      <c r="C17" s="175" t="s">
        <v>1228</v>
      </c>
      <c r="D17" s="140" t="str">
        <f>VLOOKUP(C17,CK!$B$8:$L$83,3,)</f>
        <v xml:space="preserve">초코 아이스크림 </v>
      </c>
      <c r="E17" s="140" t="str">
        <f>VLOOKUP(C17,CK!$B$8:$L$83,4,)</f>
        <v>Sundae Ice Cream (Choco)</v>
      </c>
      <c r="F17" s="245">
        <v>115</v>
      </c>
      <c r="G17" s="141" t="str">
        <f>VLOOKUP(C17,CK!$B$8:$L$83,9,)</f>
        <v>g</v>
      </c>
      <c r="H17" s="324">
        <f>VLOOKUP(C17,CK!$B$8:$L$83,10,)</f>
        <v>0</v>
      </c>
      <c r="I17" s="324">
        <f>IFERROR(F17*H17,"-")</f>
        <v>0</v>
      </c>
      <c r="J17" s="170"/>
    </row>
    <row r="18" spans="1:10" ht="16.899999999999999">
      <c r="A18" s="967"/>
      <c r="B18" s="974"/>
      <c r="C18" s="175"/>
      <c r="D18" s="140"/>
      <c r="E18" s="140"/>
      <c r="F18" s="176"/>
      <c r="G18" s="141"/>
      <c r="H18" s="324"/>
      <c r="I18" s="324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16.899999999999999">
      <c r="A20" s="967"/>
      <c r="B20" s="975" t="s">
        <v>623</v>
      </c>
      <c r="C20" s="175"/>
      <c r="D20" s="145"/>
      <c r="E20" s="145"/>
      <c r="F20" s="176"/>
      <c r="G20" s="147"/>
      <c r="H20" s="325"/>
      <c r="I20" s="325"/>
      <c r="J20" s="171"/>
    </row>
    <row r="21" spans="1:10" ht="16.899999999999999">
      <c r="A21" s="967"/>
      <c r="B21" s="976"/>
      <c r="C21" s="175"/>
      <c r="D21" s="145"/>
      <c r="E21" s="145"/>
      <c r="F21" s="176"/>
      <c r="G21" s="147"/>
      <c r="H21" s="325"/>
      <c r="I21" s="325"/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325"/>
      <c r="I22" s="325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342"/>
      <c r="I23" s="34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41">
        <f>SUM(I14:I19)</f>
        <v>781.31313131313118</v>
      </c>
      <c r="F24" s="988" t="s">
        <v>625</v>
      </c>
      <c r="G24" s="988"/>
      <c r="H24" s="988"/>
      <c r="I24" s="341">
        <f>SUM(I14:I23)</f>
        <v>781.31313131313118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237" t="e">
        <f>INDEX(COSTING!$D$1:$D$943,MATCH($B$2,COSTING!$C$1:$C$943,0))</f>
        <v>#N/A</v>
      </c>
      <c r="J25" s="331" t="str">
        <f>IFERROR((I24/I25),"-")</f>
        <v>-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B20:B23"/>
    <mergeCell ref="A1:J1"/>
    <mergeCell ref="B2:J2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  <mergeCell ref="C24:D24"/>
    <mergeCell ref="F24:H24"/>
    <mergeCell ref="F25:H25"/>
    <mergeCell ref="A27:J27"/>
    <mergeCell ref="A28:D28"/>
    <mergeCell ref="E28:J28"/>
    <mergeCell ref="A68:D68"/>
    <mergeCell ref="A38:D38"/>
    <mergeCell ref="A40:D40"/>
    <mergeCell ref="A51:D51"/>
    <mergeCell ref="A53:D53"/>
    <mergeCell ref="A57:J57"/>
    <mergeCell ref="A58:D58"/>
    <mergeCell ref="E58:J58"/>
  </mergeCells>
  <phoneticPr fontId="2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sheetPr codeName="Sheet151">
    <tabColor rgb="FFFF0000"/>
  </sheetPr>
  <dimension ref="A1:J72"/>
  <sheetViews>
    <sheetView showGridLines="0" topLeftCell="A2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9" max="9" width="9.398437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918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899999999999999">
      <c r="A14" s="967"/>
      <c r="B14" s="973"/>
      <c r="C14" s="175"/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/>
      <c r="G14" s="131" t="str">
        <f>IFERROR(VLOOKUP(#REF!,MasterSheet!$B$6:$N$150,10,),"n/a")</f>
        <v>n/a</v>
      </c>
      <c r="H14" s="323" t="str">
        <f>IFERROR(VLOOKUP(C14,MasterSheet!$B$6:$N$150,11,),"N/a")</f>
        <v>N/a</v>
      </c>
      <c r="I14" s="323" t="str">
        <f>IFERROR(F14*H14,"-")</f>
        <v>-</v>
      </c>
      <c r="J14" s="167"/>
    </row>
    <row r="15" spans="1:10" ht="16.899999999999999">
      <c r="A15" s="967"/>
      <c r="B15" s="973"/>
      <c r="C15" s="175"/>
      <c r="D15" s="130" t="str">
        <f>IFERROR(VLOOKUP(C15,MasterSheet!$B$6:$N$150,2,),"n/a")</f>
        <v>n/a</v>
      </c>
      <c r="E15" s="130" t="str">
        <f>IFERROR(VLOOKUP(C15,MasterSheet!$B$6:$N$150,3,),"n/a")</f>
        <v>n/a</v>
      </c>
      <c r="F15" s="176"/>
      <c r="G15" s="131" t="str">
        <f>IFERROR(VLOOKUP(#REF!,MasterSheet!$B$6:$N$150,10,),"n/a")</f>
        <v>n/a</v>
      </c>
      <c r="H15" s="323" t="str">
        <f>IFERROR(VLOOKUP(C15,MasterSheet!$B$6:$N$150,11,),"N/a")</f>
        <v>N/a</v>
      </c>
      <c r="I15" s="323" t="str">
        <f>IFERROR(F15*H15,"-")</f>
        <v>-</v>
      </c>
      <c r="J15" s="167"/>
    </row>
    <row r="16" spans="1:10" ht="16.899999999999999">
      <c r="A16" s="967"/>
      <c r="B16" s="973"/>
      <c r="C16" s="175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176"/>
      <c r="G16" s="131" t="str">
        <f>IFERROR(VLOOKUP(C16,MasterSheet!B18:N161,10,),"N/a")</f>
        <v>N/a</v>
      </c>
      <c r="H16" s="323" t="str">
        <f>IFERROR(VLOOKUP(C16,MasterSheet!$B$6:$N$150,11,),"N/a")</f>
        <v>N/a</v>
      </c>
      <c r="I16" s="323" t="str">
        <f>IFERROR(F16*H16,"-")</f>
        <v>-</v>
      </c>
      <c r="J16" s="167"/>
    </row>
    <row r="17" spans="1:10" ht="16.899999999999999">
      <c r="A17" s="967"/>
      <c r="B17" s="974" t="s">
        <v>622</v>
      </c>
      <c r="C17" s="175" t="s">
        <v>965</v>
      </c>
      <c r="D17" s="140" t="e">
        <f>VLOOKUP(C17,CK!$B$8:$L$11,3,)</f>
        <v>#N/A</v>
      </c>
      <c r="E17" s="140" t="e">
        <f>VLOOKUP(C17,CK!$B$8:$L$11,4,)</f>
        <v>#N/A</v>
      </c>
      <c r="F17" s="239">
        <v>100</v>
      </c>
      <c r="G17" s="141" t="e">
        <f>VLOOKUP(C17,CK!$B$8:$L$11,9,)</f>
        <v>#N/A</v>
      </c>
      <c r="H17" s="324" t="e">
        <f>VLOOKUP(C17,CK!$B$8:$L$11,10,)</f>
        <v>#N/A</v>
      </c>
      <c r="I17" s="324" t="str">
        <f>IFERROR(F17*H17,"-")</f>
        <v>-</v>
      </c>
      <c r="J17" s="359"/>
    </row>
    <row r="18" spans="1:10" ht="16.899999999999999">
      <c r="A18" s="967"/>
      <c r="B18" s="974"/>
      <c r="C18" s="175"/>
      <c r="D18" s="140"/>
      <c r="E18" s="140"/>
      <c r="F18" s="176"/>
      <c r="G18" s="141"/>
      <c r="H18" s="324"/>
      <c r="I18" s="324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16.899999999999999">
      <c r="A20" s="967"/>
      <c r="B20" s="975" t="s">
        <v>623</v>
      </c>
      <c r="C20" s="175"/>
      <c r="D20" s="145"/>
      <c r="E20" s="145"/>
      <c r="F20" s="176"/>
      <c r="G20" s="147"/>
      <c r="H20" s="325"/>
      <c r="I20" s="325"/>
      <c r="J20" s="171"/>
    </row>
    <row r="21" spans="1:10" ht="16.899999999999999">
      <c r="A21" s="967"/>
      <c r="B21" s="976"/>
      <c r="C21" s="175"/>
      <c r="D21" s="145"/>
      <c r="E21" s="145"/>
      <c r="F21" s="176"/>
      <c r="G21" s="147"/>
      <c r="H21" s="325"/>
      <c r="I21" s="325"/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325"/>
      <c r="I22" s="325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342"/>
      <c r="I23" s="34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39">
        <f>SUM(I14:I19)</f>
        <v>0</v>
      </c>
      <c r="F24" s="989" t="s">
        <v>625</v>
      </c>
      <c r="G24" s="989"/>
      <c r="H24" s="989"/>
      <c r="I24" s="341">
        <f>SUM(I14:I23)</f>
        <v>0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340" t="e">
        <f>COSTING!#REF!</f>
        <v>#REF!</v>
      </c>
      <c r="J25" s="331" t="str">
        <f>IFERROR((I24/I25),"-")</f>
        <v>-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A1:J1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  <mergeCell ref="B20:B23"/>
    <mergeCell ref="B2:J2"/>
    <mergeCell ref="C24:D24"/>
    <mergeCell ref="F24:H24"/>
    <mergeCell ref="A68:D68"/>
    <mergeCell ref="F25:H25"/>
    <mergeCell ref="A27:J27"/>
    <mergeCell ref="A28:D28"/>
    <mergeCell ref="E28:J28"/>
    <mergeCell ref="A38:D38"/>
    <mergeCell ref="A40:D40"/>
    <mergeCell ref="A51:D51"/>
    <mergeCell ref="A53:D53"/>
    <mergeCell ref="A57:J57"/>
    <mergeCell ref="A58:D58"/>
    <mergeCell ref="E58:J58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>
    <tabColor theme="1"/>
  </sheetPr>
  <dimension ref="A1:N419"/>
  <sheetViews>
    <sheetView showGridLines="0" topLeftCell="A12" zoomScaleNormal="100" workbookViewId="0">
      <selection activeCell="E78" sqref="E78"/>
    </sheetView>
  </sheetViews>
  <sheetFormatPr defaultRowHeight="14.25" outlineLevelRow="1"/>
  <cols>
    <col min="1" max="1" width="4.59765625" customWidth="1"/>
    <col min="2" max="2" width="7.86328125" style="110" customWidth="1"/>
    <col min="3" max="3" width="6.3984375" style="99" customWidth="1"/>
    <col min="4" max="4" width="21.3984375" style="1" bestFit="1" customWidth="1"/>
    <col min="5" max="5" width="34.19921875" style="1" bestFit="1" customWidth="1"/>
    <col min="6" max="6" width="14.6640625" customWidth="1"/>
    <col min="7" max="7" width="9" style="1"/>
    <col min="8" max="8" width="8.796875" style="1" customWidth="1"/>
    <col min="9" max="9" width="11.19921875" style="100" bestFit="1" customWidth="1"/>
    <col min="10" max="10" width="8" style="1" bestFit="1" customWidth="1"/>
    <col min="11" max="11" width="9.86328125" style="104" bestFit="1" customWidth="1"/>
    <col min="12" max="12" width="9.86328125" bestFit="1" customWidth="1"/>
  </cols>
  <sheetData>
    <row r="1" spans="1:12" ht="25.5">
      <c r="A1" s="45" t="s">
        <v>566</v>
      </c>
      <c r="B1" s="1"/>
    </row>
    <row r="2" spans="1:12">
      <c r="B2" s="1"/>
    </row>
    <row r="3" spans="1:12">
      <c r="B3" s="842" t="s">
        <v>0</v>
      </c>
      <c r="C3" s="841"/>
      <c r="D3" s="841" t="s">
        <v>1</v>
      </c>
      <c r="E3" s="841"/>
      <c r="F3" s="841"/>
      <c r="G3" s="13"/>
      <c r="H3" s="13"/>
      <c r="I3" s="102"/>
      <c r="J3" s="13"/>
      <c r="K3" s="118"/>
      <c r="L3" s="14"/>
    </row>
    <row r="4" spans="1:12">
      <c r="B4" s="843"/>
      <c r="C4" s="844"/>
      <c r="D4" s="6" t="s">
        <v>2</v>
      </c>
      <c r="E4" s="6" t="s">
        <v>3</v>
      </c>
      <c r="F4" s="6" t="s">
        <v>90</v>
      </c>
      <c r="G4" s="6" t="s">
        <v>608</v>
      </c>
      <c r="H4" s="17" t="s">
        <v>616</v>
      </c>
      <c r="I4" s="103" t="s">
        <v>617</v>
      </c>
      <c r="J4" s="7" t="s">
        <v>60</v>
      </c>
      <c r="K4" s="101" t="s">
        <v>615</v>
      </c>
      <c r="L4" s="6" t="s">
        <v>618</v>
      </c>
    </row>
    <row r="5" spans="1:12" outlineLevel="1">
      <c r="B5" s="111"/>
      <c r="C5" s="106" t="s">
        <v>567</v>
      </c>
      <c r="D5" s="105" t="str">
        <f>VLOOKUP(G5,MasterSheet!$B6:$N$26,2,)</f>
        <v>올리브치킨용배터믹스</v>
      </c>
      <c r="E5" s="105" t="str">
        <f>VLOOKUP(G5,MasterSheet!$B6:$N$26,3,)</f>
        <v>Battering Powder Mix</v>
      </c>
      <c r="F5" s="16"/>
      <c r="G5" s="246" t="s">
        <v>4</v>
      </c>
      <c r="H5" s="111" t="s">
        <v>619</v>
      </c>
      <c r="I5" s="749">
        <v>1000</v>
      </c>
      <c r="J5" s="105" t="str">
        <f>VLOOKUP(G5,MasterSheet!$B$6:$N$26,10,)</f>
        <v>g</v>
      </c>
      <c r="K5" s="108">
        <f>VLOOKUP(G5,MasterSheet!$B$6:$N$26,11,)</f>
        <v>81.617647058823536</v>
      </c>
      <c r="L5" s="109">
        <f>K5*I5</f>
        <v>81617.647058823539</v>
      </c>
    </row>
    <row r="6" spans="1:12" outlineLevel="1">
      <c r="B6" s="111"/>
      <c r="C6" s="106" t="s">
        <v>567</v>
      </c>
      <c r="D6" s="105" t="str">
        <f>VLOOKUP(G6,MasterSheet!$B$77:$N$91,2)</f>
        <v>정수</v>
      </c>
      <c r="E6" s="105" t="str">
        <f>VLOOKUP(G6,MasterSheet!$B$77:$N$91,3)</f>
        <v xml:space="preserve">Purified Water </v>
      </c>
      <c r="F6" s="16"/>
      <c r="G6" s="246" t="s">
        <v>368</v>
      </c>
      <c r="H6" s="111" t="s">
        <v>619</v>
      </c>
      <c r="I6" s="750">
        <v>1700</v>
      </c>
      <c r="J6" s="105" t="str">
        <f>VLOOKUP(G6,MasterSheet!$B$77:$N$91,10)</f>
        <v>g</v>
      </c>
      <c r="K6" s="108" t="str">
        <f>VLOOKUP(G6,MasterSheet!$B$77:$N$91,11)</f>
        <v>-</v>
      </c>
      <c r="L6" s="109" t="str">
        <f>IFERROR(K6*I6,"-")</f>
        <v>-</v>
      </c>
    </row>
    <row r="7" spans="1:12" outlineLevel="1">
      <c r="B7" s="111"/>
      <c r="C7" s="106"/>
      <c r="D7" s="105"/>
      <c r="E7" s="105"/>
      <c r="F7" s="16"/>
      <c r="G7" s="246"/>
      <c r="H7" s="111"/>
      <c r="I7" s="750"/>
      <c r="J7" s="105"/>
      <c r="K7" s="108"/>
      <c r="L7" s="16"/>
    </row>
    <row r="8" spans="1:12">
      <c r="B8" s="111" t="s">
        <v>737</v>
      </c>
      <c r="C8" s="113"/>
      <c r="D8" s="114" t="s">
        <v>627</v>
      </c>
      <c r="E8" s="114" t="s">
        <v>629</v>
      </c>
      <c r="F8" s="115"/>
      <c r="G8" s="114" t="s">
        <v>567</v>
      </c>
      <c r="H8" s="114"/>
      <c r="I8" s="116">
        <f>SUM(I5:I7)</f>
        <v>2700</v>
      </c>
      <c r="J8" s="114" t="str">
        <f>J5</f>
        <v>g</v>
      </c>
      <c r="K8" s="119">
        <v>30.23</v>
      </c>
      <c r="L8" s="117">
        <f>SUM(L5:L7)</f>
        <v>81617.647058823539</v>
      </c>
    </row>
    <row r="9" spans="1:12" outlineLevel="1">
      <c r="B9" s="111"/>
      <c r="C9" s="106" t="s">
        <v>568</v>
      </c>
      <c r="D9" s="105" t="str">
        <f>VLOOKUP(G9,MasterSheet!$B2:$N$26,2,)</f>
        <v>허니갈릭용배터믹스</v>
      </c>
      <c r="E9" s="105" t="str">
        <f>VLOOKUP(G9,MasterSheet!$B3:$N$26,3,)</f>
        <v xml:space="preserve">Battering Powder Mix C </v>
      </c>
      <c r="F9" s="16"/>
      <c r="G9" s="246" t="s">
        <v>7</v>
      </c>
      <c r="H9" s="105" t="s">
        <v>619</v>
      </c>
      <c r="I9" s="112">
        <v>1000</v>
      </c>
      <c r="J9" s="105" t="str">
        <f>VLOOKUP(G9,MasterSheet!$B$6:$N$150,10)</f>
        <v>g</v>
      </c>
      <c r="K9" s="108">
        <f>VLOOKUP(G9,MasterSheet!$B$6:$N$150,11)</f>
        <v>50</v>
      </c>
      <c r="L9" s="109">
        <f>IFERROR(K9*I9,"-")</f>
        <v>50000</v>
      </c>
    </row>
    <row r="10" spans="1:12" outlineLevel="1">
      <c r="B10" s="111"/>
      <c r="C10" s="106"/>
      <c r="D10" s="105" t="str">
        <f>VLOOKUP(G10,MasterSheet!$B$77:$N$91,2)</f>
        <v>정수</v>
      </c>
      <c r="E10" s="105" t="str">
        <f>VLOOKUP(G10,MasterSheet!$B$77:$N$91,3)</f>
        <v xml:space="preserve">Purified Water </v>
      </c>
      <c r="F10" s="16"/>
      <c r="G10" s="246" t="s">
        <v>368</v>
      </c>
      <c r="H10" s="105" t="s">
        <v>619</v>
      </c>
      <c r="I10" s="112">
        <v>1100</v>
      </c>
      <c r="J10" s="15" t="str">
        <f>VLOOKUP(G10,MasterSheet!$B$6:$N$150,10,)</f>
        <v>g</v>
      </c>
      <c r="K10" s="108" t="str">
        <f>VLOOKUP(G10,MasterSheet!$B$6:$N$150,11,)</f>
        <v>-</v>
      </c>
      <c r="L10" s="109" t="str">
        <f>IFERROR(K10*I10,"-")</f>
        <v>-</v>
      </c>
    </row>
    <row r="11" spans="1:12">
      <c r="B11" s="111" t="s">
        <v>639</v>
      </c>
      <c r="C11" s="113"/>
      <c r="D11" s="114" t="s">
        <v>628</v>
      </c>
      <c r="E11" s="114" t="s">
        <v>630</v>
      </c>
      <c r="F11" s="115"/>
      <c r="G11" s="114" t="s">
        <v>568</v>
      </c>
      <c r="H11" s="114"/>
      <c r="I11" s="116">
        <f>SUM(I9:I10)</f>
        <v>2100</v>
      </c>
      <c r="J11" s="114" t="str">
        <f>J9</f>
        <v>g</v>
      </c>
      <c r="K11" s="119">
        <f>L11/I11</f>
        <v>23.80952380952381</v>
      </c>
      <c r="L11" s="161">
        <f>SUM(L9:L10)</f>
        <v>50000</v>
      </c>
    </row>
    <row r="12" spans="1:12" outlineLevel="1">
      <c r="B12" s="111"/>
      <c r="C12" s="106"/>
      <c r="D12" s="105" t="str">
        <f>VLOOKUP(G12,[1]MasterSheet!$C$6:$O64,2,)</f>
        <v>정수</v>
      </c>
      <c r="E12" s="105" t="str">
        <f>VLOOKUP(G12,[1]MasterSheet!$C$6:$O64,3,)</f>
        <v xml:space="preserve">Purified Water </v>
      </c>
      <c r="F12" s="16"/>
      <c r="G12" s="15" t="s">
        <v>1088</v>
      </c>
      <c r="H12" s="15"/>
      <c r="I12" s="107">
        <v>500</v>
      </c>
      <c r="J12" s="15" t="str">
        <f>VLOOKUP(G12,MasterSheet!$B$16:$N$150,10,)</f>
        <v>g</v>
      </c>
      <c r="K12" s="108" t="str">
        <f>VLOOKUP(G12,MasterSheet!$B$16:$N$150,11,)</f>
        <v>-</v>
      </c>
      <c r="L12" s="182" t="str">
        <f>IFERROR(K12*I12,"-")</f>
        <v>-</v>
      </c>
    </row>
    <row r="13" spans="1:12" outlineLevel="1">
      <c r="B13" s="111"/>
      <c r="C13" s="106"/>
      <c r="D13" s="105" t="str">
        <f>VLOOKUP(G13,[1]MasterSheet!$C$6:$O64,2,)</f>
        <v>쌀</v>
      </c>
      <c r="E13" s="105" t="str">
        <f>VLOOKUP(G13,[1]MasterSheet!$C$6:$O64,3,)</f>
        <v>Rice</v>
      </c>
      <c r="F13" s="16"/>
      <c r="G13" s="15" t="s">
        <v>1089</v>
      </c>
      <c r="H13" s="15"/>
      <c r="I13" s="107">
        <v>1000</v>
      </c>
      <c r="J13" s="15" t="str">
        <f>VLOOKUP(G13,MasterSheet!$B$6:$N$150,10,)</f>
        <v>g</v>
      </c>
      <c r="K13" s="108">
        <f>VLOOKUP(G13,MasterSheet!$B$6:$N$150,11,)</f>
        <v>7.25</v>
      </c>
      <c r="L13" s="182">
        <f>IFERROR(K13*I13,"-")</f>
        <v>7250</v>
      </c>
    </row>
    <row r="14" spans="1:12">
      <c r="B14" s="111" t="s">
        <v>1090</v>
      </c>
      <c r="C14" s="120"/>
      <c r="D14" s="120" t="s">
        <v>1091</v>
      </c>
      <c r="E14" s="120" t="s">
        <v>1092</v>
      </c>
      <c r="F14" s="120"/>
      <c r="G14" s="120" t="s">
        <v>1090</v>
      </c>
      <c r="H14" s="120"/>
      <c r="I14" s="250">
        <f>SUM(I12:I13)</f>
        <v>1500</v>
      </c>
      <c r="J14" s="120" t="str">
        <f>J13</f>
        <v>g</v>
      </c>
      <c r="K14" s="119">
        <f>L14/I14</f>
        <v>4.833333333333333</v>
      </c>
      <c r="L14" s="251">
        <f>SUM(L12:L13)</f>
        <v>7250</v>
      </c>
    </row>
    <row r="15" spans="1:12" outlineLevel="1">
      <c r="B15" s="111"/>
      <c r="C15" s="106"/>
      <c r="D15" s="105" t="str">
        <f>VLOOKUP(G15,[1]MasterSheet!$C$6:$O500,2,)</f>
        <v>레몬농축액</v>
      </c>
      <c r="E15" s="105" t="str">
        <f>VLOOKUP(G15,[1]MasterSheet!$C$6:$O500,3,)</f>
        <v xml:space="preserve">Lemon Juice </v>
      </c>
      <c r="F15" s="16"/>
      <c r="G15" s="15" t="s">
        <v>1105</v>
      </c>
      <c r="H15" s="15"/>
      <c r="I15" s="107">
        <v>4</v>
      </c>
      <c r="J15" s="15" t="str">
        <f>VLOOKUP(G15,MasterSheet!$B$16:$N$150,10,)</f>
        <v>g</v>
      </c>
      <c r="K15" s="108">
        <f>VLOOKUP(G15,MasterSheet!$B$16:$N$150,11,)</f>
        <v>80.808080808080803</v>
      </c>
      <c r="L15" s="182">
        <f>IFERROR(K15*I15,"-")</f>
        <v>323.23232323232321</v>
      </c>
    </row>
    <row r="16" spans="1:12" outlineLevel="1">
      <c r="B16" s="111"/>
      <c r="C16" s="106"/>
      <c r="D16" s="105" t="str">
        <f>VLOOKUP(G16,[1]MasterSheet!$C$6:$O68,2,)</f>
        <v>백설탕</v>
      </c>
      <c r="E16" s="105" t="str">
        <f>VLOOKUP(G16,[1]MasterSheet!$C$6:$O68,3,)</f>
        <v>White Sugar</v>
      </c>
      <c r="F16" s="16"/>
      <c r="G16" s="15" t="s">
        <v>380</v>
      </c>
      <c r="H16" s="15"/>
      <c r="I16" s="107">
        <v>6</v>
      </c>
      <c r="J16" s="15" t="str">
        <f>VLOOKUP(G16,MasterSheet!$B$6:$N$150,10,)</f>
        <v>g</v>
      </c>
      <c r="K16" s="108">
        <f>VLOOKUP(G16,MasterSheet!$B$6:$N$150,11,)</f>
        <v>21.212121212121211</v>
      </c>
      <c r="L16" s="182">
        <f>IFERROR(K16*I16,"-")</f>
        <v>127.27272727272727</v>
      </c>
    </row>
    <row r="17" spans="2:12" outlineLevel="1">
      <c r="B17" s="111"/>
      <c r="C17" s="106"/>
      <c r="D17" s="15"/>
      <c r="E17" s="15"/>
      <c r="F17" s="16"/>
      <c r="G17" s="15"/>
      <c r="H17" s="15"/>
      <c r="I17" s="107"/>
      <c r="J17" s="15"/>
      <c r="K17" s="108"/>
      <c r="L17" s="16"/>
    </row>
    <row r="18" spans="2:12">
      <c r="B18" s="111" t="s">
        <v>1102</v>
      </c>
      <c r="C18" s="120"/>
      <c r="D18" s="120" t="s">
        <v>1103</v>
      </c>
      <c r="E18" s="120" t="s">
        <v>1104</v>
      </c>
      <c r="F18" s="120"/>
      <c r="G18" s="120" t="s">
        <v>1102</v>
      </c>
      <c r="H18" s="120"/>
      <c r="I18" s="250">
        <f>SUM(I15:I17)</f>
        <v>10</v>
      </c>
      <c r="J18" s="120" t="str">
        <f>J16</f>
        <v>g</v>
      </c>
      <c r="K18" s="119">
        <v>36.06</v>
      </c>
      <c r="L18" s="251">
        <f>SUM(L15:L17)</f>
        <v>450.50505050505046</v>
      </c>
    </row>
    <row r="19" spans="2:12" outlineLevel="1">
      <c r="B19" s="111"/>
      <c r="C19" s="106"/>
      <c r="D19" s="105" t="s">
        <v>1113</v>
      </c>
      <c r="E19" s="105" t="s">
        <v>1114</v>
      </c>
      <c r="F19" s="16"/>
      <c r="G19" s="15" t="s">
        <v>1109</v>
      </c>
      <c r="H19" s="15"/>
      <c r="I19" s="107">
        <v>50</v>
      </c>
      <c r="J19" s="15" t="str">
        <f>VLOOKUP(G19,MasterSheet!$B$16:$N$150,10,)</f>
        <v>g</v>
      </c>
      <c r="K19" s="108">
        <f>VLOOKUP(G19,MasterSheet!$B$16:$N$150,11,)</f>
        <v>74.368686868686865</v>
      </c>
      <c r="L19" s="182">
        <f>IFERROR(K19*I19,"-")</f>
        <v>3718.4343434343432</v>
      </c>
    </row>
    <row r="20" spans="2:12" outlineLevel="1">
      <c r="B20" s="111"/>
      <c r="C20" s="106"/>
      <c r="D20" s="105" t="str">
        <f>VLOOKUP(G20,[1]MasterSheet!$C$6:$O70,2,)</f>
        <v>백설탕</v>
      </c>
      <c r="E20" s="105" t="e">
        <f>VLOOKUP(G20,[1]MasterSheet!$C$6:$O64,3,)</f>
        <v>#N/A</v>
      </c>
      <c r="F20" s="16"/>
      <c r="G20" s="15" t="s">
        <v>743</v>
      </c>
      <c r="H20" s="15"/>
      <c r="I20" s="107">
        <v>4</v>
      </c>
      <c r="J20" s="15" t="str">
        <f>VLOOKUP(G20,MasterSheet!$B$16:$N$150,10,)</f>
        <v>g</v>
      </c>
      <c r="K20" s="108">
        <f>VLOOKUP(G20,MasterSheet!$B$16:$N$150,11,)</f>
        <v>21.212121212121211</v>
      </c>
      <c r="L20" s="182">
        <f>IFERROR(K20*I20,"-")</f>
        <v>84.848484848484844</v>
      </c>
    </row>
    <row r="21" spans="2:12" outlineLevel="1">
      <c r="B21" s="111"/>
      <c r="C21" s="106"/>
      <c r="D21" s="105" t="s">
        <v>1115</v>
      </c>
      <c r="E21" s="105" t="s">
        <v>1116</v>
      </c>
      <c r="F21" s="16"/>
      <c r="G21" s="15" t="s">
        <v>744</v>
      </c>
      <c r="H21" s="15"/>
      <c r="I21" s="107">
        <v>10</v>
      </c>
      <c r="J21" s="15" t="str">
        <f>VLOOKUP(G21,MasterSheet!$B$16:$N$150,10,)</f>
        <v>g</v>
      </c>
      <c r="K21" s="108">
        <f>VLOOKUP(G21,MasterSheet!$B$16:$N$150,11,)</f>
        <v>80.353333333333339</v>
      </c>
      <c r="L21" s="182">
        <f>IFERROR(K21*I21,"-")</f>
        <v>803.53333333333342</v>
      </c>
    </row>
    <row r="22" spans="2:12" outlineLevel="1">
      <c r="B22" s="111"/>
      <c r="C22" s="106"/>
      <c r="D22" s="105" t="str">
        <f>VLOOKUP(G22,[1]MasterSheet!$C$6:$O75,2,)</f>
        <v>마요네즈</v>
      </c>
      <c r="E22" s="105" t="str">
        <f>VLOOKUP(G22,[1]MasterSheet!$C$6:$O66,3,)</f>
        <v>Mayonnaise</v>
      </c>
      <c r="F22" s="16"/>
      <c r="G22" s="15" t="s">
        <v>977</v>
      </c>
      <c r="H22" s="15"/>
      <c r="I22" s="107">
        <v>50</v>
      </c>
      <c r="J22" s="15" t="str">
        <f>VLOOKUP(G22,MasterSheet!$B$6:$N$150,10,)</f>
        <v>g</v>
      </c>
      <c r="K22" s="108">
        <f>VLOOKUP(G22,MasterSheet!$B$6:$N$150,11,)</f>
        <v>48.82151515151515</v>
      </c>
      <c r="L22" s="182">
        <f>IFERROR(K22*I22,"-")</f>
        <v>2441.0757575757575</v>
      </c>
    </row>
    <row r="23" spans="2:12">
      <c r="B23" s="111" t="s">
        <v>1110</v>
      </c>
      <c r="C23" s="120"/>
      <c r="D23" s="120" t="s">
        <v>1111</v>
      </c>
      <c r="E23" s="120" t="s">
        <v>1112</v>
      </c>
      <c r="F23" s="120"/>
      <c r="G23" s="120" t="s">
        <v>1110</v>
      </c>
      <c r="H23" s="120"/>
      <c r="I23" s="250">
        <f>SUM(I19:I22)</f>
        <v>114</v>
      </c>
      <c r="J23" s="120" t="str">
        <f>J22</f>
        <v>g</v>
      </c>
      <c r="K23" s="119">
        <f>L23/I23</f>
        <v>61.82361332624491</v>
      </c>
      <c r="L23" s="251">
        <f>SUM(L19:L22)</f>
        <v>7047.8919191919194</v>
      </c>
    </row>
    <row r="24" spans="2:12" hidden="1" outlineLevel="1">
      <c r="B24" s="111"/>
      <c r="C24" s="106"/>
      <c r="D24" s="15" t="str">
        <f>VLOOKUP(G24,MasterSheet!$B$16:$N$150,2,)</f>
        <v>감자튀김</v>
      </c>
      <c r="E24" s="15" t="str">
        <f>VLOOKUP(G24,MasterSheet!$B$16:$N$150,3,)</f>
        <v>French Fries</v>
      </c>
      <c r="F24" s="16"/>
      <c r="G24" s="15" t="s">
        <v>1118</v>
      </c>
      <c r="H24" s="15"/>
      <c r="I24" s="107">
        <v>150</v>
      </c>
      <c r="J24" s="15" t="str">
        <f>VLOOKUP(G24,MasterSheet!$B$16:$N$150,10,)</f>
        <v>g</v>
      </c>
      <c r="K24" s="108">
        <f>VLOOKUP(G24,MasterSheet!$B$16:$N$150,11,)</f>
        <v>46.666666666666664</v>
      </c>
      <c r="L24" s="182">
        <f>IFERROR(K24*I24,"-")</f>
        <v>7000</v>
      </c>
    </row>
    <row r="25" spans="2:12" hidden="1" outlineLevel="1">
      <c r="B25" s="111"/>
      <c r="C25" s="106"/>
      <c r="D25" s="15" t="str">
        <f>VLOOKUP(G25,MasterSheet!$B$16:$N$150,2,)</f>
        <v>팜유</v>
      </c>
      <c r="E25" s="15" t="str">
        <f>VLOOKUP(G25,MasterSheet!$B$16:$N$150,3,)</f>
        <v>Palm Oil</v>
      </c>
      <c r="F25" s="16"/>
      <c r="G25" s="15" t="s">
        <v>1093</v>
      </c>
      <c r="H25" s="15"/>
      <c r="I25" s="107">
        <f>I24*20%</f>
        <v>30</v>
      </c>
      <c r="J25" s="15" t="str">
        <f>VLOOKUP(G25,MasterSheet!$B$6:$N$150,10,)</f>
        <v>g</v>
      </c>
      <c r="K25" s="108">
        <f>VLOOKUP(G25,MasterSheet!$B$6:$N$150,11,)</f>
        <v>25.580404040404041</v>
      </c>
      <c r="L25" s="182">
        <f>IFERROR(K25*I25,"-")</f>
        <v>767.41212121212118</v>
      </c>
    </row>
    <row r="26" spans="2:12" hidden="1" outlineLevel="1">
      <c r="B26" s="111"/>
      <c r="C26" s="106"/>
      <c r="D26" s="15"/>
      <c r="E26" s="15"/>
      <c r="F26" s="16"/>
      <c r="G26" s="15"/>
      <c r="H26" s="15"/>
      <c r="I26" s="107"/>
      <c r="J26" s="15"/>
      <c r="K26" s="108"/>
      <c r="L26" s="16"/>
    </row>
    <row r="27" spans="2:12" collapsed="1">
      <c r="B27" s="111" t="s">
        <v>1117</v>
      </c>
      <c r="C27" s="120"/>
      <c r="D27" s="120" t="s">
        <v>473</v>
      </c>
      <c r="E27" s="120" t="s">
        <v>486</v>
      </c>
      <c r="F27" s="120"/>
      <c r="G27" s="120" t="s">
        <v>1117</v>
      </c>
      <c r="H27" s="120"/>
      <c r="I27" s="250">
        <f>SUM(I24:I26)</f>
        <v>180</v>
      </c>
      <c r="J27" s="120" t="str">
        <f>J25</f>
        <v>g</v>
      </c>
      <c r="K27" s="119">
        <f>L27/I27</f>
        <v>43.15228956228956</v>
      </c>
      <c r="L27" s="251">
        <f>SUM(L24:L26)</f>
        <v>7767.4121212121208</v>
      </c>
    </row>
    <row r="28" spans="2:12" hidden="1" outlineLevel="1">
      <c r="B28" s="111"/>
      <c r="C28" s="106"/>
      <c r="D28" s="15" t="str">
        <f>VLOOKUP(G28,MasterSheet!$B$16:$N$150,2,)</f>
        <v>소이갈릭용소스</v>
      </c>
      <c r="E28" s="15" t="str">
        <f>VLOOKUP(G28,MasterSheet!$B$16:$N$150,3,)</f>
        <v>Garlic Flavour Soy Sauce</v>
      </c>
      <c r="F28" s="16"/>
      <c r="G28" s="15" t="s">
        <v>742</v>
      </c>
      <c r="H28" s="15"/>
      <c r="I28" s="107">
        <v>400</v>
      </c>
      <c r="J28" s="15" t="str">
        <f>VLOOKUP(G28,MasterSheet!$B$16:$N$150,10,)</f>
        <v>g</v>
      </c>
      <c r="K28" s="108">
        <f>VLOOKUP(G28,MasterSheet!$B$16:$N$150,11,)</f>
        <v>112.734375</v>
      </c>
      <c r="L28" s="182">
        <f>IFERROR(K28*I28,"-")</f>
        <v>45093.75</v>
      </c>
    </row>
    <row r="29" spans="2:12" hidden="1" outlineLevel="1">
      <c r="B29" s="111"/>
      <c r="C29" s="106"/>
      <c r="D29" s="15" t="str">
        <f>VLOOKUP(G29,MasterSheet!$B$16:$N$150,2,)</f>
        <v>간장(진)</v>
      </c>
      <c r="E29" s="15" t="str">
        <f>VLOOKUP(G29,MasterSheet!$B$16:$N$150,3,)</f>
        <v>Soy Sauce</v>
      </c>
      <c r="F29" s="16"/>
      <c r="G29" s="15" t="s">
        <v>744</v>
      </c>
      <c r="H29" s="15"/>
      <c r="I29" s="107">
        <v>60</v>
      </c>
      <c r="J29" s="15" t="str">
        <f>VLOOKUP(G29,MasterSheet!$B$16:$N$150,10,)</f>
        <v>g</v>
      </c>
      <c r="K29" s="108">
        <f>VLOOKUP(G29,MasterSheet!$B$16:$N$150,11,)</f>
        <v>80.353333333333339</v>
      </c>
      <c r="L29" s="182">
        <f>IFERROR(K29*I29,"-")</f>
        <v>4821.2000000000007</v>
      </c>
    </row>
    <row r="30" spans="2:12" hidden="1" outlineLevel="1">
      <c r="B30" s="111"/>
      <c r="C30" s="106"/>
      <c r="D30" s="15" t="str">
        <f>VLOOKUP(G30,MasterSheet!$B$16:$N$150,2,)</f>
        <v>후추</v>
      </c>
      <c r="E30" s="15" t="str">
        <f>VLOOKUP(G30,MasterSheet!$B$16:$N$150,3,)</f>
        <v>Black Pepper</v>
      </c>
      <c r="F30" s="16"/>
      <c r="G30" s="15" t="s">
        <v>671</v>
      </c>
      <c r="H30" s="15"/>
      <c r="I30" s="107">
        <v>2</v>
      </c>
      <c r="J30" s="15" t="str">
        <f>VLOOKUP(G30,MasterSheet!$B$16:$N$150,10,)</f>
        <v>g</v>
      </c>
      <c r="K30" s="108">
        <f>VLOOKUP(G30,MasterSheet!$B$16:$N$150,11,)</f>
        <v>183.83838383838383</v>
      </c>
      <c r="L30" s="182">
        <f>IFERROR(K30*I30,"-")</f>
        <v>367.67676767676767</v>
      </c>
    </row>
    <row r="31" spans="2:12" hidden="1" outlineLevel="1">
      <c r="B31" s="111"/>
      <c r="C31" s="106"/>
      <c r="D31" s="15" t="str">
        <f>VLOOKUP(G31,MasterSheet!$B$16:$N$150,2,)</f>
        <v>참기름</v>
      </c>
      <c r="E31" s="15" t="str">
        <f>VLOOKUP(G31,MasterSheet!$B$16:$N$150,3,)</f>
        <v>Sesame Oil</v>
      </c>
      <c r="F31" s="16"/>
      <c r="G31" s="15" t="s">
        <v>680</v>
      </c>
      <c r="H31" s="15"/>
      <c r="I31" s="107">
        <v>4</v>
      </c>
      <c r="J31" s="15" t="str">
        <f>VLOOKUP(G31,MasterSheet!$B$6:$N$150,10,)</f>
        <v>g</v>
      </c>
      <c r="K31" s="108">
        <f>VLOOKUP(G31,MasterSheet!$B$6:$N$150,11,)</f>
        <v>100.72222222222223</v>
      </c>
      <c r="L31" s="182">
        <f>IFERROR(K31*I31,"-")</f>
        <v>402.88888888888891</v>
      </c>
    </row>
    <row r="32" spans="2:12" hidden="1" outlineLevel="1">
      <c r="B32" s="111"/>
      <c r="C32" s="106"/>
      <c r="D32" s="15"/>
      <c r="E32" s="15"/>
      <c r="F32" s="16"/>
      <c r="G32" s="15"/>
      <c r="H32" s="15"/>
      <c r="I32" s="107"/>
      <c r="J32" s="15"/>
      <c r="K32" s="108"/>
      <c r="L32" s="16"/>
    </row>
    <row r="33" spans="2:12" collapsed="1">
      <c r="B33" s="111" t="s">
        <v>1141</v>
      </c>
      <c r="C33" s="120"/>
      <c r="D33" s="120" t="s">
        <v>1142</v>
      </c>
      <c r="E33" s="120" t="s">
        <v>1143</v>
      </c>
      <c r="F33" s="120"/>
      <c r="G33" s="120" t="s">
        <v>1141</v>
      </c>
      <c r="H33" s="120"/>
      <c r="I33" s="250">
        <f>SUM(I28:I32)</f>
        <v>466</v>
      </c>
      <c r="J33" s="120" t="str">
        <f>J31</f>
        <v>g</v>
      </c>
      <c r="K33" s="119">
        <f>L33/I33</f>
        <v>108.76720097975463</v>
      </c>
      <c r="L33" s="251">
        <f>SUM(L28:L32)</f>
        <v>50685.515656565658</v>
      </c>
    </row>
    <row r="34" spans="2:12" hidden="1" outlineLevel="1">
      <c r="B34" s="111"/>
      <c r="C34" s="106"/>
      <c r="D34" s="15" t="str">
        <f>VLOOKUP(G34,MasterSheet!$B$16:$N$150,2,)</f>
        <v>계란</v>
      </c>
      <c r="E34" s="15" t="str">
        <f>VLOOKUP(G34,MasterSheet!$B$16:$N$150,3,)</f>
        <v>Egg</v>
      </c>
      <c r="F34" s="16"/>
      <c r="G34" s="15" t="s">
        <v>674</v>
      </c>
      <c r="H34" s="15"/>
      <c r="I34" s="107">
        <f>60*20</f>
        <v>1200</v>
      </c>
      <c r="J34" s="15" t="str">
        <f>VLOOKUP(G34,MasterSheet!$B$16:$N$150,10,)</f>
        <v>g</v>
      </c>
      <c r="K34" s="108">
        <f>VLOOKUP(G34,MasterSheet!$B$16:$N$150,11,)</f>
        <v>32.323232323232325</v>
      </c>
      <c r="L34" s="182">
        <f>IFERROR(K34*I34,"-")</f>
        <v>38787.878787878792</v>
      </c>
    </row>
    <row r="35" spans="2:12" hidden="1" outlineLevel="1">
      <c r="B35" s="111"/>
      <c r="C35" s="106"/>
      <c r="D35" s="15" t="str">
        <f>VLOOKUP(G35,MasterSheet!$B$16:$N$150,2,)</f>
        <v>소금</v>
      </c>
      <c r="E35" s="15" t="str">
        <f>VLOOKUP(G35,MasterSheet!$B$16:$N$150,3,)</f>
        <v>Salt</v>
      </c>
      <c r="F35" s="16"/>
      <c r="G35" s="15" t="s">
        <v>369</v>
      </c>
      <c r="H35" s="15"/>
      <c r="I35" s="107">
        <v>4</v>
      </c>
      <c r="J35" s="15" t="str">
        <f>VLOOKUP(G35,MasterSheet!$B$16:$N$150,10,)</f>
        <v>g</v>
      </c>
      <c r="K35" s="108">
        <f>VLOOKUP(G35,MasterSheet!$B$16:$N$150,11,)</f>
        <v>16.666666666666668</v>
      </c>
      <c r="L35" s="182">
        <f>IFERROR(K35*I35,"-")</f>
        <v>66.666666666666671</v>
      </c>
    </row>
    <row r="36" spans="2:12" hidden="1" outlineLevel="1">
      <c r="B36" s="111"/>
      <c r="C36" s="106"/>
      <c r="D36" s="15" t="str">
        <f>VLOOKUP(G36,MasterSheet!$B$16:$N$150,2,)</f>
        <v>정수</v>
      </c>
      <c r="E36" s="15" t="str">
        <f>VLOOKUP(G36,MasterSheet!$B$16:$N$150,3,)</f>
        <v xml:space="preserve">Purified Water </v>
      </c>
      <c r="F36" s="16"/>
      <c r="G36" s="15" t="s">
        <v>1130</v>
      </c>
      <c r="H36" s="15"/>
      <c r="I36" s="107">
        <v>400</v>
      </c>
      <c r="J36" s="15" t="str">
        <f>VLOOKUP(G36,MasterSheet!$B$16:$N$150,10,)</f>
        <v>g</v>
      </c>
      <c r="K36" s="108" t="str">
        <f>VLOOKUP(G36,MasterSheet!$B$16:$N$150,11,)</f>
        <v>-</v>
      </c>
      <c r="L36" s="182" t="str">
        <f>IFERROR(K36*I36,"-")</f>
        <v>-</v>
      </c>
    </row>
    <row r="37" spans="2:12" hidden="1" outlineLevel="1">
      <c r="B37" s="111"/>
      <c r="C37" s="106"/>
      <c r="D37" s="15" t="str">
        <f>VLOOKUP(G37,MasterSheet!$B$16:$N$150,2,)</f>
        <v>후추</v>
      </c>
      <c r="E37" s="15" t="str">
        <f>VLOOKUP(G37,MasterSheet!$B$16:$N$150,3,)</f>
        <v>Black Pepper</v>
      </c>
      <c r="F37" s="16"/>
      <c r="G37" s="15" t="s">
        <v>671</v>
      </c>
      <c r="H37" s="15"/>
      <c r="I37" s="107">
        <v>1</v>
      </c>
      <c r="J37" s="15" t="str">
        <f>VLOOKUP(G37,MasterSheet!$B$16:$N$150,10,)</f>
        <v>g</v>
      </c>
      <c r="K37" s="108">
        <f>VLOOKUP(G37,MasterSheet!$B$16:$N$150,11,)</f>
        <v>183.83838383838383</v>
      </c>
      <c r="L37" s="182">
        <f>IFERROR(K37*I37,"-")</f>
        <v>183.83838383838383</v>
      </c>
    </row>
    <row r="38" spans="2:12" hidden="1" outlineLevel="1">
      <c r="B38" s="111"/>
      <c r="C38" s="106"/>
      <c r="D38" s="15" t="str">
        <f>VLOOKUP(G38,MasterSheet!$B$16:$N$150,2,)</f>
        <v>팜유</v>
      </c>
      <c r="E38" s="15" t="str">
        <f>VLOOKUP(G38,MasterSheet!$B$16:$N$150,3,)</f>
        <v>Palm Oil</v>
      </c>
      <c r="F38" s="16"/>
      <c r="G38" s="15" t="s">
        <v>999</v>
      </c>
      <c r="H38" s="15"/>
      <c r="I38" s="107">
        <v>10</v>
      </c>
      <c r="J38" s="15" t="str">
        <f>VLOOKUP(G38,MasterSheet!$B$6:$N$150,10,)</f>
        <v>g</v>
      </c>
      <c r="K38" s="108">
        <f>VLOOKUP(G38,MasterSheet!$B$6:$N$150,11,)</f>
        <v>25.580404040404041</v>
      </c>
      <c r="L38" s="182">
        <f>IFERROR(K38*I38,"-")</f>
        <v>255.80404040404039</v>
      </c>
    </row>
    <row r="39" spans="2:12" collapsed="1">
      <c r="B39" s="111" t="s">
        <v>1166</v>
      </c>
      <c r="C39" s="113"/>
      <c r="D39" s="120" t="s">
        <v>1167</v>
      </c>
      <c r="E39" s="120" t="s">
        <v>1168</v>
      </c>
      <c r="F39" s="115"/>
      <c r="G39" s="120" t="s">
        <v>1166</v>
      </c>
      <c r="H39" s="120"/>
      <c r="I39" s="250">
        <f>SUM(I34:I38)</f>
        <v>1615</v>
      </c>
      <c r="J39" s="120" t="str">
        <f>J38</f>
        <v>g</v>
      </c>
      <c r="K39" s="119">
        <f>L39/I39</f>
        <v>24.330766488413548</v>
      </c>
      <c r="L39" s="183">
        <f>SUM(L34:L38)</f>
        <v>39294.187878787881</v>
      </c>
    </row>
    <row r="40" spans="2:12" hidden="1" outlineLevel="1">
      <c r="B40" s="111"/>
      <c r="C40" s="106"/>
      <c r="D40" s="15" t="str">
        <f>VLOOKUP(G40,MasterSheet!$B$16:$N$150,2,)</f>
        <v>땅콩 버터</v>
      </c>
      <c r="E40" s="15" t="str">
        <f>VLOOKUP(G40,MasterSheet!$B$16:$N$150,3,)</f>
        <v>Peanut Butter</v>
      </c>
      <c r="F40" s="16"/>
      <c r="G40" s="15" t="s">
        <v>1109</v>
      </c>
      <c r="H40" s="15"/>
      <c r="I40" s="107">
        <v>50</v>
      </c>
      <c r="J40" s="15" t="s">
        <v>922</v>
      </c>
      <c r="K40" s="108" t="s">
        <v>1265</v>
      </c>
      <c r="L40" s="182" t="str">
        <f t="shared" ref="L40:L46" si="0">IFERROR(K40*I40,"-")</f>
        <v>-</v>
      </c>
    </row>
    <row r="41" spans="2:12" hidden="1" outlineLevel="1">
      <c r="B41" s="111"/>
      <c r="C41" s="106"/>
      <c r="D41" s="15" t="str">
        <f>VLOOKUP(G41,MasterSheet!$B$16:$N$150,2,)</f>
        <v>백설탕</v>
      </c>
      <c r="E41" s="15" t="str">
        <f>VLOOKUP(G41,MasterSheet!$B$16:$N$150,3,)</f>
        <v>White Sugar</v>
      </c>
      <c r="F41" s="16"/>
      <c r="G41" s="15" t="s">
        <v>743</v>
      </c>
      <c r="H41" s="15"/>
      <c r="I41" s="107">
        <v>4</v>
      </c>
      <c r="J41" s="15" t="s">
        <v>922</v>
      </c>
      <c r="K41" s="108">
        <v>17.676767676767678</v>
      </c>
      <c r="L41" s="182">
        <f t="shared" si="0"/>
        <v>70.707070707070713</v>
      </c>
    </row>
    <row r="42" spans="2:12" hidden="1" outlineLevel="1">
      <c r="B42" s="111"/>
      <c r="C42" s="106"/>
      <c r="D42" s="15" t="str">
        <f>VLOOKUP(G42,MasterSheet!$B$16:$N$150,2,)</f>
        <v>간장(진)</v>
      </c>
      <c r="E42" s="15" t="str">
        <f>VLOOKUP(G42,MasterSheet!$B$16:$N$150,3,)</f>
        <v>Soy Sauce</v>
      </c>
      <c r="F42" s="16"/>
      <c r="G42" s="15" t="s">
        <v>744</v>
      </c>
      <c r="H42" s="15"/>
      <c r="I42" s="107">
        <v>10</v>
      </c>
      <c r="J42" s="15" t="s">
        <v>922</v>
      </c>
      <c r="K42" s="108">
        <v>13.392255892255893</v>
      </c>
      <c r="L42" s="182">
        <f t="shared" si="0"/>
        <v>133.92255892255892</v>
      </c>
    </row>
    <row r="43" spans="2:12" hidden="1" outlineLevel="1">
      <c r="B43" s="111"/>
      <c r="C43" s="106"/>
      <c r="D43" s="15" t="str">
        <f>VLOOKUP(G43,MasterSheet!$B$16:$N$150,2,)</f>
        <v>마요네즈</v>
      </c>
      <c r="E43" s="15" t="str">
        <f>VLOOKUP(G43,MasterSheet!$B$16:$N$150,3,)</f>
        <v>KEWPIE CHEF STYLE MAYO</v>
      </c>
      <c r="F43" s="16"/>
      <c r="G43" s="15" t="s">
        <v>977</v>
      </c>
      <c r="H43" s="15"/>
      <c r="I43" s="107">
        <v>50</v>
      </c>
      <c r="J43" s="15" t="s">
        <v>922</v>
      </c>
      <c r="K43" s="108">
        <v>52.696969696969703</v>
      </c>
      <c r="L43" s="182">
        <f t="shared" si="0"/>
        <v>2634.848484848485</v>
      </c>
    </row>
    <row r="44" spans="2:12" hidden="1" outlineLevel="1">
      <c r="B44" s="111"/>
      <c r="C44" s="106"/>
      <c r="D44" s="15" t="str">
        <f>VLOOKUP(G44,MasterSheet!$B$16:$N$150,2,)</f>
        <v>레몬농축액</v>
      </c>
      <c r="E44" s="15" t="str">
        <f>VLOOKUP(G44,MasterSheet!$B$16:$N$150,3,)</f>
        <v>Lemon Syrup</v>
      </c>
      <c r="F44" s="16"/>
      <c r="G44" s="15" t="s">
        <v>748</v>
      </c>
      <c r="H44" s="15"/>
      <c r="I44" s="107">
        <v>10</v>
      </c>
      <c r="J44" s="15" t="s">
        <v>922</v>
      </c>
      <c r="K44" s="108">
        <v>36.060606060606062</v>
      </c>
      <c r="L44" s="182">
        <f t="shared" si="0"/>
        <v>360.60606060606062</v>
      </c>
    </row>
    <row r="45" spans="2:12" hidden="1" outlineLevel="1">
      <c r="B45" s="111"/>
      <c r="C45" s="106"/>
      <c r="D45" s="15" t="str">
        <f>VLOOKUP(G45,MasterSheet!$B$16:$N$150,2,)</f>
        <v>연유</v>
      </c>
      <c r="E45" s="15" t="str">
        <f>VLOOKUP(G45,MasterSheet!$B$16:$N$150,3,)</f>
        <v>Condensed Milk</v>
      </c>
      <c r="F45" s="16"/>
      <c r="G45" s="15" t="s">
        <v>1169</v>
      </c>
      <c r="H45" s="15"/>
      <c r="I45" s="107">
        <v>10</v>
      </c>
      <c r="J45" s="15" t="s">
        <v>922</v>
      </c>
      <c r="K45" s="108" t="s">
        <v>1265</v>
      </c>
      <c r="L45" s="182" t="str">
        <f t="shared" si="0"/>
        <v>-</v>
      </c>
    </row>
    <row r="46" spans="2:12" hidden="1" outlineLevel="1">
      <c r="B46" s="111"/>
      <c r="C46" s="106"/>
      <c r="D46" s="15" t="str">
        <f>VLOOKUP(G46,MasterSheet!$B$16:$N$150,2,)</f>
        <v>정수</v>
      </c>
      <c r="E46" s="15" t="str">
        <f>VLOOKUP(G46,MasterSheet!$B$16:$N$150,3,)</f>
        <v xml:space="preserve">Purified Water </v>
      </c>
      <c r="F46" s="16"/>
      <c r="G46" s="15" t="s">
        <v>368</v>
      </c>
      <c r="H46" s="15"/>
      <c r="I46" s="107">
        <v>10</v>
      </c>
      <c r="J46" s="15" t="s">
        <v>922</v>
      </c>
      <c r="K46" s="108" t="s">
        <v>1265</v>
      </c>
      <c r="L46" s="182" t="str">
        <f t="shared" si="0"/>
        <v>-</v>
      </c>
    </row>
    <row r="47" spans="2:12" hidden="1" collapsed="1">
      <c r="B47" s="111" t="s">
        <v>1170</v>
      </c>
      <c r="C47" s="113"/>
      <c r="D47" s="120" t="s">
        <v>1173</v>
      </c>
      <c r="E47" s="120" t="s">
        <v>1174</v>
      </c>
      <c r="F47" s="115"/>
      <c r="G47" s="120" t="s">
        <v>1170</v>
      </c>
      <c r="H47" s="120"/>
      <c r="I47" s="116">
        <f>SUM(I40:I46)</f>
        <v>144</v>
      </c>
      <c r="J47" s="120" t="str">
        <f>J46</f>
        <v>g</v>
      </c>
      <c r="K47" s="119">
        <f>L47/I47</f>
        <v>22.222806771417883</v>
      </c>
      <c r="L47" s="116">
        <f>SUM(L40:L46)</f>
        <v>3200.0841750841751</v>
      </c>
    </row>
    <row r="48" spans="2:12" hidden="1" outlineLevel="1">
      <c r="B48" s="111"/>
      <c r="C48" s="106"/>
      <c r="D48" s="15" t="str">
        <f>VLOOKUP(G48,MasterSheet!$B$16:$N$150,2,)</f>
        <v>마요네즈</v>
      </c>
      <c r="E48" s="15" t="str">
        <f>VLOOKUP(G48,MasterSheet!$B$16:$N$150,3,)</f>
        <v>KEWPIE CHEF STYLE MAYO</v>
      </c>
      <c r="F48" s="16"/>
      <c r="G48" s="15" t="s">
        <v>977</v>
      </c>
      <c r="H48" s="15"/>
      <c r="I48" s="107">
        <v>50</v>
      </c>
      <c r="J48" s="15" t="s">
        <v>922</v>
      </c>
      <c r="K48" s="108">
        <v>52.696969696969703</v>
      </c>
      <c r="L48" s="182">
        <f>IFERROR(K48*I48,"-")</f>
        <v>2634.848484848485</v>
      </c>
    </row>
    <row r="49" spans="2:12" hidden="1" outlineLevel="1">
      <c r="B49" s="111"/>
      <c r="C49" s="106"/>
      <c r="D49" s="15" t="str">
        <f>VLOOKUP(G49,MasterSheet!$B$16:$N$150,2,)</f>
        <v>연유</v>
      </c>
      <c r="E49" s="15" t="str">
        <f>VLOOKUP(G49,MasterSheet!$B$16:$N$150,3,)</f>
        <v>Condensed Milk</v>
      </c>
      <c r="F49" s="16"/>
      <c r="G49" s="15" t="s">
        <v>1169</v>
      </c>
      <c r="H49" s="15"/>
      <c r="I49" s="107">
        <v>4</v>
      </c>
      <c r="J49" s="15" t="s">
        <v>922</v>
      </c>
      <c r="K49" s="108" t="s">
        <v>1265</v>
      </c>
      <c r="L49" s="182" t="str">
        <f>IFERROR(K49*I49,"-")</f>
        <v>-</v>
      </c>
    </row>
    <row r="50" spans="2:12" hidden="1" collapsed="1">
      <c r="B50" s="111" t="s">
        <v>1175</v>
      </c>
      <c r="C50" s="113"/>
      <c r="D50" s="120" t="s">
        <v>1171</v>
      </c>
      <c r="E50" s="120" t="s">
        <v>1172</v>
      </c>
      <c r="F50" s="115"/>
      <c r="G50" s="120" t="s">
        <v>1175</v>
      </c>
      <c r="H50" s="120"/>
      <c r="I50" s="116">
        <f>SUM(I48:I49)</f>
        <v>54</v>
      </c>
      <c r="J50" s="120" t="str">
        <f>J49</f>
        <v>g</v>
      </c>
      <c r="K50" s="119">
        <f>L50/I50</f>
        <v>48.79349046015713</v>
      </c>
      <c r="L50" s="116">
        <f>SUM(L48:L49)</f>
        <v>2634.848484848485</v>
      </c>
    </row>
    <row r="51" spans="2:12" hidden="1" outlineLevel="1">
      <c r="B51" s="111"/>
      <c r="C51" s="106"/>
      <c r="D51" s="15" t="e">
        <f>VLOOKUP(G51,MasterSheet!$B$16:$N$150,2,)</f>
        <v>#N/A</v>
      </c>
      <c r="E51" s="15" t="e">
        <f>VLOOKUP(G51,MasterSheet!$B$16:$N$150,3,)</f>
        <v>#N/A</v>
      </c>
      <c r="F51" s="16"/>
      <c r="G51" s="15" t="s">
        <v>1193</v>
      </c>
      <c r="H51" s="15"/>
      <c r="I51" s="107">
        <v>1000</v>
      </c>
      <c r="J51" s="15" t="e">
        <f>VLOOKUP(G51,MasterSheet!$B$16:$N$150,10,)</f>
        <v>#N/A</v>
      </c>
      <c r="K51" s="108" t="e">
        <f>VLOOKUP(G51,MasterSheet!$B$16:$N$150,11,)</f>
        <v>#N/A</v>
      </c>
      <c r="L51" s="182" t="str">
        <f>IFERROR(K51*I51,"-")</f>
        <v>-</v>
      </c>
    </row>
    <row r="52" spans="2:12" hidden="1" outlineLevel="1">
      <c r="B52" s="111"/>
      <c r="C52" s="106"/>
      <c r="D52" s="15" t="str">
        <f>VLOOKUP(G52,MasterSheet!$B$16:$N$150,2,)</f>
        <v>정수</v>
      </c>
      <c r="E52" s="15" t="str">
        <f>VLOOKUP(G52,MasterSheet!$B$16:$N$150,3,)</f>
        <v xml:space="preserve">Purified Water </v>
      </c>
      <c r="F52" s="16"/>
      <c r="G52" s="15" t="s">
        <v>368</v>
      </c>
      <c r="H52" s="15"/>
      <c r="I52" s="107">
        <v>3000</v>
      </c>
      <c r="J52" s="15" t="str">
        <f>VLOOKUP(G52,MasterSheet!$B$16:$N$150,10,)</f>
        <v>g</v>
      </c>
      <c r="K52" s="108" t="str">
        <f>VLOOKUP(G52,MasterSheet!$B$16:$N$150,11,)</f>
        <v>-</v>
      </c>
      <c r="L52" s="182" t="str">
        <f>IFERROR(K52*I52,"-")</f>
        <v>-</v>
      </c>
    </row>
    <row r="53" spans="2:12" collapsed="1">
      <c r="B53" s="111" t="s">
        <v>1225</v>
      </c>
      <c r="C53" s="113"/>
      <c r="D53" s="120" t="s">
        <v>1223</v>
      </c>
      <c r="E53" s="120" t="s">
        <v>1224</v>
      </c>
      <c r="F53" s="115"/>
      <c r="G53" s="120" t="s">
        <v>1225</v>
      </c>
      <c r="H53" s="15"/>
      <c r="I53" s="116">
        <f>SUM(I51:I52)</f>
        <v>4000</v>
      </c>
      <c r="J53" s="120" t="str">
        <f>J52</f>
        <v>g</v>
      </c>
      <c r="K53" s="119">
        <f>L53/I53</f>
        <v>0</v>
      </c>
      <c r="L53" s="116">
        <f>SUM(L51:L52)</f>
        <v>0</v>
      </c>
    </row>
    <row r="54" spans="2:12" hidden="1" outlineLevel="1">
      <c r="B54" s="111"/>
      <c r="C54" s="106"/>
      <c r="D54" s="15" t="e">
        <f>VLOOKUP(G54,MasterSheet!$B$16:$N$150,2,)</f>
        <v>#N/A</v>
      </c>
      <c r="E54" s="15" t="e">
        <f>VLOOKUP(G54,MasterSheet!$B$16:$N$150,3,)</f>
        <v>#N/A</v>
      </c>
      <c r="F54" s="16"/>
      <c r="G54" s="15" t="s">
        <v>1209</v>
      </c>
      <c r="H54" s="15"/>
      <c r="I54" s="107">
        <v>1000</v>
      </c>
      <c r="J54" s="15" t="e">
        <f>VLOOKUP(G54,MasterSheet!$B$16:$N$150,10,)</f>
        <v>#N/A</v>
      </c>
      <c r="K54" s="108" t="e">
        <f>VLOOKUP(G54,MasterSheet!$B$16:$N$150,11,)</f>
        <v>#N/A</v>
      </c>
      <c r="L54" s="182" t="str">
        <f>IFERROR(K54*I54,"-")</f>
        <v>-</v>
      </c>
    </row>
    <row r="55" spans="2:12" hidden="1" outlineLevel="1">
      <c r="B55" s="111"/>
      <c r="C55" s="106"/>
      <c r="D55" s="15" t="str">
        <f>VLOOKUP(G55,MasterSheet!$B$16:$N$150,2,)</f>
        <v>정수</v>
      </c>
      <c r="E55" s="15" t="str">
        <f>VLOOKUP(G55,MasterSheet!$B$16:$N$150,3,)</f>
        <v xml:space="preserve">Purified Water </v>
      </c>
      <c r="F55" s="16"/>
      <c r="G55" s="15" t="s">
        <v>368</v>
      </c>
      <c r="H55" s="15"/>
      <c r="I55" s="107">
        <v>3000</v>
      </c>
      <c r="J55" s="15" t="str">
        <f>VLOOKUP(G55,MasterSheet!$B$16:$N$150,10,)</f>
        <v>g</v>
      </c>
      <c r="K55" s="108" t="str">
        <f>VLOOKUP(G55,MasterSheet!$B$16:$N$150,11,)</f>
        <v>-</v>
      </c>
      <c r="L55" s="182" t="str">
        <f>IFERROR(K55*I55,"-")</f>
        <v>-</v>
      </c>
    </row>
    <row r="56" spans="2:12" collapsed="1">
      <c r="B56" s="111" t="s">
        <v>1228</v>
      </c>
      <c r="C56" s="113"/>
      <c r="D56" s="120" t="s">
        <v>1226</v>
      </c>
      <c r="E56" s="120" t="s">
        <v>1227</v>
      </c>
      <c r="F56" s="115"/>
      <c r="G56" s="120" t="s">
        <v>1228</v>
      </c>
      <c r="H56" s="15"/>
      <c r="I56" s="116">
        <f>SUM(I54:I55)</f>
        <v>4000</v>
      </c>
      <c r="J56" s="120" t="str">
        <f>J55</f>
        <v>g</v>
      </c>
      <c r="K56" s="119">
        <f>L56/I56</f>
        <v>0</v>
      </c>
      <c r="L56" s="116">
        <f>SUM(L54:L55)</f>
        <v>0</v>
      </c>
    </row>
    <row r="57" spans="2:12" outlineLevel="1">
      <c r="B57" s="111"/>
      <c r="C57" s="106"/>
      <c r="D57" s="15" t="str">
        <f>VLOOKUP(G57,MasterSheet!$B$16:$N$150,2,)</f>
        <v>당면</v>
      </c>
      <c r="E57" s="15" t="str">
        <f>VLOOKUP(G57,MasterSheet!$B$16:$N$150,3,)</f>
        <v>Glass Noodle</v>
      </c>
      <c r="F57" s="16"/>
      <c r="G57" s="15" t="s">
        <v>970</v>
      </c>
      <c r="H57" s="15"/>
      <c r="I57" s="107">
        <v>1000</v>
      </c>
      <c r="J57" s="15" t="s">
        <v>922</v>
      </c>
      <c r="K57" s="108">
        <v>32</v>
      </c>
      <c r="L57" s="182">
        <f t="shared" ref="L57:L63" si="1">IFERROR(K57*I57,"-")</f>
        <v>32000</v>
      </c>
    </row>
    <row r="58" spans="2:12" outlineLevel="1">
      <c r="B58" s="111"/>
      <c r="C58" s="106"/>
      <c r="D58" s="15" t="str">
        <f>VLOOKUP(G58,$B$5:$L$56,3,)</f>
        <v>잡체 소스</v>
      </c>
      <c r="E58" s="15" t="str">
        <f>VLOOKUP(G58,$B$5:$L$83,4,)</f>
        <v>Japchae Sauce</v>
      </c>
      <c r="F58" s="16"/>
      <c r="G58" s="15" t="s">
        <v>1141</v>
      </c>
      <c r="H58" s="15"/>
      <c r="I58" s="107">
        <v>250</v>
      </c>
      <c r="J58" s="15" t="str">
        <f>VLOOKUP(G58,$B$5:$L$84,9,)</f>
        <v>g</v>
      </c>
      <c r="K58" s="108">
        <f>VLOOKUP(G58,$B$5:$L$84,10,)</f>
        <v>108.76720097975463</v>
      </c>
      <c r="L58" s="182">
        <f t="shared" si="1"/>
        <v>27191.800244938659</v>
      </c>
    </row>
    <row r="59" spans="2:12" outlineLevel="1">
      <c r="B59" s="111"/>
      <c r="C59" s="106"/>
      <c r="D59" s="15" t="str">
        <f>VLOOKUP(G59,MasterSheet!$B$16:$N$150,2,)</f>
        <v xml:space="preserve">양파 </v>
      </c>
      <c r="E59" s="15" t="str">
        <f>VLOOKUP(G59,MasterSheet!$B$16:$N$150,3,)</f>
        <v>White Onion</v>
      </c>
      <c r="F59" s="16"/>
      <c r="G59" s="15" t="s">
        <v>670</v>
      </c>
      <c r="H59" s="15"/>
      <c r="I59" s="107">
        <v>150</v>
      </c>
      <c r="J59" s="15" t="s">
        <v>922</v>
      </c>
      <c r="K59" s="108">
        <v>33.684210526315788</v>
      </c>
      <c r="L59" s="182">
        <f t="shared" si="1"/>
        <v>5052.6315789473683</v>
      </c>
    </row>
    <row r="60" spans="2:12" outlineLevel="1">
      <c r="B60" s="111"/>
      <c r="C60" s="106"/>
      <c r="D60" s="15" t="str">
        <f>VLOOKUP(G60,MasterSheet!$B$16:$N$150,2,)</f>
        <v>쪽파</v>
      </c>
      <c r="E60" s="15" t="str">
        <f>VLOOKUP(G60,MasterSheet!$B$16:$N$150,3,)</f>
        <v>Scallion(Green Onion)</v>
      </c>
      <c r="F60" s="16"/>
      <c r="G60" s="15" t="s">
        <v>672</v>
      </c>
      <c r="H60" s="15"/>
      <c r="I60" s="107">
        <v>50</v>
      </c>
      <c r="J60" s="15" t="s">
        <v>922</v>
      </c>
      <c r="K60" s="108">
        <v>22.105263157894736</v>
      </c>
      <c r="L60" s="182">
        <f t="shared" si="1"/>
        <v>1105.2631578947369</v>
      </c>
    </row>
    <row r="61" spans="2:12" outlineLevel="1">
      <c r="B61" s="111"/>
      <c r="C61" s="106"/>
      <c r="D61" s="15" t="str">
        <f>VLOOKUP(G61,MasterSheet!$B$16:$N$150,2,)</f>
        <v>당근</v>
      </c>
      <c r="E61" s="15" t="str">
        <f>VLOOKUP(G61,MasterSheet!$B$16:$N$150,3,)</f>
        <v>Carrot</v>
      </c>
      <c r="F61" s="16"/>
      <c r="G61" s="15" t="s">
        <v>688</v>
      </c>
      <c r="H61" s="15"/>
      <c r="I61" s="107">
        <v>50</v>
      </c>
      <c r="J61" s="15" t="s">
        <v>922</v>
      </c>
      <c r="K61" s="108">
        <v>24.210526315789476</v>
      </c>
      <c r="L61" s="182">
        <f t="shared" si="1"/>
        <v>1210.5263157894738</v>
      </c>
    </row>
    <row r="62" spans="2:12" outlineLevel="1">
      <c r="B62" s="111"/>
      <c r="C62" s="106"/>
      <c r="D62" s="15" t="str">
        <f>VLOOKUP(G62,MasterSheet!$B$16:$N$150,2,)</f>
        <v>목이버섯</v>
      </c>
      <c r="E62" s="15" t="str">
        <f>VLOOKUP(G62,MasterSheet!$B$16:$N$150,3,)</f>
        <v>Ear Mushroom</v>
      </c>
      <c r="F62" s="16"/>
      <c r="G62" s="15" t="s">
        <v>948</v>
      </c>
      <c r="H62" s="15"/>
      <c r="I62" s="107">
        <v>50</v>
      </c>
      <c r="J62" s="15" t="s">
        <v>922</v>
      </c>
      <c r="K62" s="108">
        <v>26.842105263157897</v>
      </c>
      <c r="L62" s="182">
        <f t="shared" si="1"/>
        <v>1342.1052631578948</v>
      </c>
    </row>
    <row r="63" spans="2:12" outlineLevel="1">
      <c r="B63" s="111"/>
      <c r="C63" s="106"/>
      <c r="D63" s="15" t="str">
        <f>VLOOKUP(G63,MasterSheet!$B$16:$N$150,2,)</f>
        <v>깨</v>
      </c>
      <c r="E63" s="15" t="str">
        <f>VLOOKUP(G63,MasterSheet!$B$16:$N$150,3,)</f>
        <v>Sesame Seeds</v>
      </c>
      <c r="F63" s="16"/>
      <c r="G63" s="15" t="s">
        <v>706</v>
      </c>
      <c r="H63" s="15"/>
      <c r="I63" s="107">
        <v>51</v>
      </c>
      <c r="J63" s="15" t="s">
        <v>922</v>
      </c>
      <c r="K63" s="108">
        <v>77.363636363636374</v>
      </c>
      <c r="L63" s="182">
        <f t="shared" si="1"/>
        <v>3945.545454545455</v>
      </c>
    </row>
    <row r="64" spans="2:12">
      <c r="B64" s="111" t="s">
        <v>1242</v>
      </c>
      <c r="C64" s="113"/>
      <c r="D64" s="120" t="s">
        <v>1241</v>
      </c>
      <c r="E64" s="120" t="s">
        <v>1138</v>
      </c>
      <c r="F64" s="115"/>
      <c r="G64" s="120" t="s">
        <v>1228</v>
      </c>
      <c r="H64" s="120"/>
      <c r="I64" s="116">
        <f>SUM(I57:I63)</f>
        <v>1601</v>
      </c>
      <c r="J64" s="120" t="str">
        <f>J63</f>
        <v>g</v>
      </c>
      <c r="K64" s="119">
        <f>L64/I64</f>
        <v>44.876871964568139</v>
      </c>
      <c r="L64" s="116">
        <f>SUM(L57:L63)</f>
        <v>71847.872015273591</v>
      </c>
    </row>
    <row r="65" spans="2:14">
      <c r="B65" s="111" t="s">
        <v>1257</v>
      </c>
      <c r="C65" s="106"/>
      <c r="D65" s="15" t="s">
        <v>1258</v>
      </c>
      <c r="E65" s="15" t="s">
        <v>1259</v>
      </c>
      <c r="F65" s="16"/>
      <c r="G65" s="15" t="s">
        <v>1257</v>
      </c>
      <c r="H65" s="15"/>
      <c r="I65" s="107">
        <v>990</v>
      </c>
      <c r="J65" s="15" t="s">
        <v>61</v>
      </c>
      <c r="K65" s="452">
        <f>L65/I65</f>
        <v>113.93939393939394</v>
      </c>
      <c r="L65" s="451">
        <v>112800</v>
      </c>
    </row>
    <row r="66" spans="2:14">
      <c r="B66" s="111" t="s">
        <v>1260</v>
      </c>
      <c r="C66" s="106"/>
      <c r="D66" s="15" t="s">
        <v>1261</v>
      </c>
      <c r="E66" s="15" t="s">
        <v>1262</v>
      </c>
      <c r="F66" s="16"/>
      <c r="G66" s="15" t="s">
        <v>1260</v>
      </c>
      <c r="H66" s="15"/>
      <c r="I66" s="107">
        <v>1000</v>
      </c>
      <c r="J66" s="15" t="s">
        <v>61</v>
      </c>
      <c r="K66" s="476">
        <f>L66/I66</f>
        <v>85.581000000000003</v>
      </c>
      <c r="L66" s="451">
        <v>85581</v>
      </c>
    </row>
    <row r="67" spans="2:14">
      <c r="B67" s="111" t="s">
        <v>1267</v>
      </c>
      <c r="C67" s="106"/>
      <c r="D67" s="15" t="s">
        <v>1270</v>
      </c>
      <c r="E67" s="15" t="s">
        <v>1272</v>
      </c>
      <c r="F67" s="16"/>
      <c r="G67" s="15" t="s">
        <v>1266</v>
      </c>
      <c r="H67" s="15"/>
      <c r="I67" s="107">
        <v>2000</v>
      </c>
      <c r="J67" s="15" t="s">
        <v>61</v>
      </c>
      <c r="K67" s="452">
        <f>L67/I67</f>
        <v>153.01</v>
      </c>
      <c r="L67" s="472">
        <v>306020</v>
      </c>
    </row>
    <row r="68" spans="2:14">
      <c r="B68" s="111" t="s">
        <v>1269</v>
      </c>
      <c r="C68" s="106"/>
      <c r="D68" s="15" t="s">
        <v>1271</v>
      </c>
      <c r="E68" s="15" t="s">
        <v>1273</v>
      </c>
      <c r="F68" s="16"/>
      <c r="G68" s="15" t="s">
        <v>1268</v>
      </c>
      <c r="H68" s="15"/>
      <c r="I68" s="107">
        <v>1000</v>
      </c>
      <c r="J68" s="15" t="s">
        <v>61</v>
      </c>
      <c r="K68" s="452">
        <f>L68/I68</f>
        <v>288.10199999999998</v>
      </c>
      <c r="L68" s="472">
        <v>288102</v>
      </c>
    </row>
    <row r="69" spans="2:14" hidden="1" outlineLevel="1">
      <c r="B69" s="111"/>
      <c r="C69" s="106"/>
      <c r="D69" s="15" t="str">
        <f>VLOOKUP(G69,MasterSheet!$B$16:$N$150,2,)</f>
        <v>탄산음료 베이스</v>
      </c>
      <c r="E69" s="15" t="str">
        <f>VLOOKUP(G69,MasterSheet!$B$16:$N$150,3,)</f>
        <v>Soft Drink Base</v>
      </c>
      <c r="F69" s="16"/>
      <c r="G69" s="15" t="s">
        <v>660</v>
      </c>
      <c r="H69" s="15"/>
      <c r="I69" s="107">
        <v>28</v>
      </c>
      <c r="J69" s="15" t="s">
        <v>1286</v>
      </c>
      <c r="K69" s="108">
        <f>VLOOKUP(G69,MasterSheet!$B$16:$N$150,11,)</f>
        <v>70.707070707070713</v>
      </c>
      <c r="L69" s="182">
        <f>IFERROR(K69*I69,"-")</f>
        <v>1979.7979797979799</v>
      </c>
    </row>
    <row r="70" spans="2:14" hidden="1" outlineLevel="1">
      <c r="B70" s="111"/>
      <c r="C70" s="106"/>
      <c r="D70" s="15">
        <f>VLOOKUP(G70,MasterSheet!$B$16:$N$150,2,)</f>
        <v>0</v>
      </c>
      <c r="E70" s="15" t="str">
        <f>VLOOKUP(G70,MasterSheet!$B$16:$N$150,3,)</f>
        <v>BONALLIE BLACK TEA</v>
      </c>
      <c r="F70" s="16"/>
      <c r="G70" s="15" t="s">
        <v>1282</v>
      </c>
      <c r="H70" s="15"/>
      <c r="I70" s="107">
        <v>4.13</v>
      </c>
      <c r="J70" s="15" t="s">
        <v>61</v>
      </c>
      <c r="K70" s="108">
        <f>VLOOKUP(G70,MasterSheet!$B$16:$N$150,11,)</f>
        <v>60.326086956521742</v>
      </c>
      <c r="L70" s="182">
        <f>IFERROR(K70*I70,"-")</f>
        <v>249.14673913043478</v>
      </c>
    </row>
    <row r="71" spans="2:14" hidden="1" outlineLevel="1">
      <c r="B71" s="111"/>
      <c r="C71" s="106"/>
      <c r="D71" s="15" t="e">
        <f>VLOOKUP(G71,MasterSheet!$B$16:$N$150,2,)</f>
        <v>#N/A</v>
      </c>
      <c r="E71" s="15" t="e">
        <f>VLOOKUP(G71,MasterSheet!$B$16:$N$150,3,)</f>
        <v>#N/A</v>
      </c>
      <c r="F71" s="16"/>
      <c r="G71" s="15" t="s">
        <v>1287</v>
      </c>
      <c r="H71" s="15"/>
      <c r="I71" s="107">
        <v>75</v>
      </c>
      <c r="J71" s="15" t="s">
        <v>1286</v>
      </c>
      <c r="K71" s="108"/>
      <c r="L71" s="182">
        <f>IFERROR(K71*I71,"-")</f>
        <v>0</v>
      </c>
    </row>
    <row r="72" spans="2:14" hidden="1" outlineLevel="1">
      <c r="B72" s="111"/>
      <c r="C72" s="106"/>
      <c r="D72" s="15" t="str">
        <f>VLOOKUP(G72,MasterSheet!$B$16:$N$150,2,)</f>
        <v>정수</v>
      </c>
      <c r="E72" s="15" t="str">
        <f>VLOOKUP(G72,MasterSheet!$B$16:$N$150,3,)</f>
        <v xml:space="preserve">Purified Water </v>
      </c>
      <c r="F72" s="16"/>
      <c r="G72" s="15" t="s">
        <v>368</v>
      </c>
      <c r="H72" s="15"/>
      <c r="I72" s="107">
        <v>52.5</v>
      </c>
      <c r="J72" s="15" t="s">
        <v>1286</v>
      </c>
      <c r="K72" s="108"/>
      <c r="L72" s="182">
        <f>IFERROR(K72*I72,"-")</f>
        <v>0</v>
      </c>
    </row>
    <row r="73" spans="2:14" collapsed="1">
      <c r="B73" s="111" t="s">
        <v>1283</v>
      </c>
      <c r="C73" s="113"/>
      <c r="D73" s="120" t="s">
        <v>1082</v>
      </c>
      <c r="E73" s="120" t="s">
        <v>1083</v>
      </c>
      <c r="F73" s="115"/>
      <c r="G73" s="120" t="s">
        <v>1283</v>
      </c>
      <c r="H73" s="120"/>
      <c r="I73" s="116">
        <v>250</v>
      </c>
      <c r="J73" s="120" t="s">
        <v>1286</v>
      </c>
      <c r="K73" s="119">
        <f>L73/I73</f>
        <v>8.9157788757136593</v>
      </c>
      <c r="L73" s="116">
        <f>SUM(L69:L72)</f>
        <v>2228.9447189284147</v>
      </c>
    </row>
    <row r="74" spans="2:14">
      <c r="B74" s="111" t="s">
        <v>1413</v>
      </c>
      <c r="C74" s="113"/>
      <c r="D74" s="120"/>
      <c r="E74" s="120" t="s">
        <v>1419</v>
      </c>
      <c r="F74" s="115"/>
      <c r="G74" s="120" t="s">
        <v>1413</v>
      </c>
      <c r="H74" s="120"/>
      <c r="I74" s="116">
        <f>SUM(I75:I78)</f>
        <v>2450</v>
      </c>
      <c r="J74" s="120" t="s">
        <v>61</v>
      </c>
      <c r="K74" s="119">
        <f>L74/I74</f>
        <v>26.910124664994086</v>
      </c>
      <c r="L74" s="116">
        <f>SUM(L75:L78)</f>
        <v>65929.805429235508</v>
      </c>
    </row>
    <row r="75" spans="2:14" outlineLevel="1">
      <c r="C75" s="106"/>
      <c r="D75" s="15"/>
      <c r="E75" s="15" t="str">
        <f>VLOOKUP(G75,CK!$B$12:$N$107,4,)</f>
        <v>Tteokbokki Solution</v>
      </c>
      <c r="F75" s="16"/>
      <c r="G75" s="15" t="s">
        <v>979</v>
      </c>
      <c r="H75" s="15"/>
      <c r="I75" s="107">
        <v>1500</v>
      </c>
      <c r="J75" s="15" t="s">
        <v>61</v>
      </c>
      <c r="K75" s="476">
        <f>VLOOKUP(G75,$B$5:$L$155,10,)</f>
        <v>10.199223244866909</v>
      </c>
      <c r="L75" s="679">
        <f>IFERROR(K75*I75,"-")</f>
        <v>15298.834867300364</v>
      </c>
    </row>
    <row r="76" spans="2:14" outlineLevel="1">
      <c r="B76" s="111"/>
      <c r="C76" s="106"/>
      <c r="D76" s="15"/>
      <c r="E76" s="15" t="str">
        <f>VLOOKUP(G76,MasterSheet!$B$16:$N$150,3,)</f>
        <v xml:space="preserve">Rice Cake </v>
      </c>
      <c r="F76" s="16"/>
      <c r="G76" s="15" t="s">
        <v>1416</v>
      </c>
      <c r="H76" s="15"/>
      <c r="I76" s="107">
        <v>800</v>
      </c>
      <c r="J76" s="15" t="s">
        <v>61</v>
      </c>
      <c r="K76" s="676">
        <f>VLOOKUP(G76,MasterSheet!$B$16:$N$150,11,)</f>
        <v>54.005050505050512</v>
      </c>
      <c r="L76" s="679">
        <f>IFERROR(K76*I76,"-")</f>
        <v>43204.04040404041</v>
      </c>
      <c r="N76">
        <f>L79/I79</f>
        <v>42.487026600141888</v>
      </c>
    </row>
    <row r="77" spans="2:14" outlineLevel="1">
      <c r="B77" s="111"/>
      <c r="C77" s="106"/>
      <c r="D77" s="15"/>
      <c r="E77" s="15" t="str">
        <f>VLOOKUP(G77,MasterSheet!$B$16:$N$150,3,)</f>
        <v>Fish Cake</v>
      </c>
      <c r="F77" s="16"/>
      <c r="G77" s="15" t="s">
        <v>750</v>
      </c>
      <c r="H77" s="15"/>
      <c r="I77" s="107">
        <v>100</v>
      </c>
      <c r="J77" s="15" t="s">
        <v>61</v>
      </c>
      <c r="K77" s="676">
        <f>VLOOKUP(G77,MasterSheet!$B$16:$N$150,11,)</f>
        <v>60.416669999999996</v>
      </c>
      <c r="L77" s="679">
        <f>IFERROR(K77*I77,"-")</f>
        <v>6041.6669999999995</v>
      </c>
    </row>
    <row r="78" spans="2:14" outlineLevel="1">
      <c r="B78" s="111"/>
      <c r="C78" s="106"/>
      <c r="D78" s="15"/>
      <c r="E78" s="15" t="str">
        <f>VLOOKUP(G78,MasterSheet!$B$16:$N$150,3,)</f>
        <v>Scallion(Green Onion)</v>
      </c>
      <c r="F78" s="16"/>
      <c r="G78" s="15" t="s">
        <v>767</v>
      </c>
      <c r="H78" s="15"/>
      <c r="I78" s="107">
        <v>50</v>
      </c>
      <c r="J78" s="15" t="s">
        <v>61</v>
      </c>
      <c r="K78" s="676">
        <f>VLOOKUP(G78,MasterSheet!$B$16:$N$150,11,)</f>
        <v>27.705263157894738</v>
      </c>
      <c r="L78" s="679">
        <f>IFERROR(K78*I78,"-")</f>
        <v>1385.2631578947369</v>
      </c>
    </row>
    <row r="79" spans="2:14">
      <c r="B79" s="111" t="s">
        <v>1781</v>
      </c>
      <c r="C79" s="113"/>
      <c r="D79" s="120"/>
      <c r="E79" s="120" t="s">
        <v>1505</v>
      </c>
      <c r="F79" s="115"/>
      <c r="G79" s="120" t="s">
        <v>1781</v>
      </c>
      <c r="H79" s="120"/>
      <c r="I79" s="116">
        <f>SUM(I80:I83)</f>
        <v>2035</v>
      </c>
      <c r="J79" s="120" t="s">
        <v>61</v>
      </c>
      <c r="K79" s="119">
        <f>L79/I79</f>
        <v>42.487026600141888</v>
      </c>
      <c r="L79" s="116">
        <v>86461.099131288749</v>
      </c>
      <c r="M79" s="449">
        <f>SUM(L80:L84)</f>
        <v>86407.266081288748</v>
      </c>
    </row>
    <row r="80" spans="2:14" outlineLevel="1">
      <c r="B80" s="111"/>
      <c r="C80" s="106"/>
      <c r="D80" s="15"/>
      <c r="E80" s="15" t="str">
        <f>VLOOKUP(G80,MasterSheet!$B$16:$N$150,3,)</f>
        <v xml:space="preserve">Rice Cake </v>
      </c>
      <c r="F80" s="16"/>
      <c r="G80" s="15" t="s">
        <v>1416</v>
      </c>
      <c r="H80" s="15"/>
      <c r="I80" s="107">
        <v>800</v>
      </c>
      <c r="J80" s="15" t="s">
        <v>61</v>
      </c>
      <c r="K80" s="677">
        <f>VLOOKUP(G80,MasterSheet!$B$16:$N$150,11,)</f>
        <v>54.005050505050512</v>
      </c>
      <c r="L80" s="678">
        <f>K80*I80</f>
        <v>43204.04040404041</v>
      </c>
    </row>
    <row r="81" spans="2:12" outlineLevel="1">
      <c r="B81" s="111"/>
      <c r="C81" s="106"/>
      <c r="D81" s="15"/>
      <c r="E81" s="15" t="str">
        <f>VLOOKUP(G81,MasterSheet!$B$16:$N$150,3,)</f>
        <v>Fish Cake</v>
      </c>
      <c r="F81" s="16"/>
      <c r="G81" s="15" t="s">
        <v>750</v>
      </c>
      <c r="H81" s="15"/>
      <c r="I81" s="107">
        <v>85</v>
      </c>
      <c r="J81" s="15" t="s">
        <v>61</v>
      </c>
      <c r="K81" s="677">
        <f>VLOOKUP(G81,MasterSheet!$B$16:$N$150,11,)</f>
        <v>60.416669999999996</v>
      </c>
      <c r="L81" s="678">
        <f t="shared" ref="L81:L84" si="2">K81*I81</f>
        <v>5135.4169499999998</v>
      </c>
    </row>
    <row r="82" spans="2:12" outlineLevel="1">
      <c r="B82" s="111"/>
      <c r="C82" s="106"/>
      <c r="D82" s="15"/>
      <c r="E82" s="15" t="str">
        <f>VLOOKUP(G82,MasterSheet!$B$16:$N$150,3,)</f>
        <v>Scallion(Green Onion)</v>
      </c>
      <c r="F82" s="16"/>
      <c r="G82" s="15" t="s">
        <v>767</v>
      </c>
      <c r="H82" s="15"/>
      <c r="I82" s="107">
        <v>50</v>
      </c>
      <c r="J82" s="15" t="s">
        <v>61</v>
      </c>
      <c r="K82" s="677">
        <f>VLOOKUP(G82,MasterSheet!$B$16:$N$150,11,)</f>
        <v>27.705263157894738</v>
      </c>
      <c r="L82" s="678">
        <f t="shared" si="2"/>
        <v>1385.2631578947369</v>
      </c>
    </row>
    <row r="83" spans="2:12" outlineLevel="1">
      <c r="B83" s="111"/>
      <c r="C83" s="106"/>
      <c r="D83" s="15"/>
      <c r="E83" s="15" t="str">
        <f>VLOOKUP(G83,CK!$B$12:$N$107,4,)</f>
        <v>Tteokbokki Solution</v>
      </c>
      <c r="F83" s="16"/>
      <c r="G83" s="15" t="s">
        <v>979</v>
      </c>
      <c r="H83" s="15"/>
      <c r="I83" s="107">
        <v>1100</v>
      </c>
      <c r="J83" s="15" t="s">
        <v>61</v>
      </c>
      <c r="K83" s="476">
        <f>VLOOKUP(G83,$B$5:$L$155,10,)</f>
        <v>10.199223244866909</v>
      </c>
      <c r="L83" s="678">
        <f t="shared" si="2"/>
        <v>11219.145569353599</v>
      </c>
    </row>
    <row r="84" spans="2:12" outlineLevel="1">
      <c r="B84" s="111"/>
      <c r="C84" s="106"/>
      <c r="D84" s="15"/>
      <c r="E84" s="15" t="str">
        <f>VLOOKUP(G84,MasterSheet!$B$16:$N$150,3,)</f>
        <v xml:space="preserve">CHILLED RICH DOUBLE CREAM </v>
      </c>
      <c r="F84" s="16"/>
      <c r="G84" s="15" t="s">
        <v>1695</v>
      </c>
      <c r="H84" s="15"/>
      <c r="I84" s="107">
        <v>370</v>
      </c>
      <c r="J84" s="15" t="s">
        <v>61</v>
      </c>
      <c r="K84" s="677">
        <f>VLOOKUP(G84,MasterSheet!$B$16:$N$150,11,)</f>
        <v>68.819999999999993</v>
      </c>
      <c r="L84" s="678">
        <f t="shared" si="2"/>
        <v>25463.399999999998</v>
      </c>
    </row>
    <row r="85" spans="2:12">
      <c r="B85" s="111" t="s">
        <v>979</v>
      </c>
      <c r="C85" s="120"/>
      <c r="D85" s="120" t="s">
        <v>1274</v>
      </c>
      <c r="E85" s="120" t="s">
        <v>1275</v>
      </c>
      <c r="F85" s="120"/>
      <c r="G85" s="120" t="s">
        <v>979</v>
      </c>
      <c r="H85" s="120"/>
      <c r="I85" s="250">
        <f>SUM(I86:I87)</f>
        <v>4000</v>
      </c>
      <c r="J85" s="120" t="str">
        <f>J87</f>
        <v>g</v>
      </c>
      <c r="K85" s="119">
        <f>L85/I85</f>
        <v>10.199223244866909</v>
      </c>
      <c r="L85" s="450">
        <f>SUM(L86:L87)</f>
        <v>40796.892979467637</v>
      </c>
    </row>
    <row r="86" spans="2:12" outlineLevel="1">
      <c r="B86" s="111"/>
      <c r="C86" s="106"/>
      <c r="D86" s="15" t="str">
        <f>VLOOKUP(G86,[2]MasterSheet!$B$16:$N$143,2,)</f>
        <v>정수</v>
      </c>
      <c r="E86" s="15" t="str">
        <f>VLOOKUP(G86,[2]MasterSheet!$B$16:$N$143,3,)</f>
        <v xml:space="preserve">Purified Water </v>
      </c>
      <c r="F86" s="16"/>
      <c r="G86" s="15" t="s">
        <v>368</v>
      </c>
      <c r="H86" s="15"/>
      <c r="I86" s="107">
        <v>3000</v>
      </c>
      <c r="J86" s="15" t="str">
        <f>VLOOKUP(G86,[2]MasterSheet!$B$16:$N$143,10,)</f>
        <v>g</v>
      </c>
      <c r="K86" s="108" t="str">
        <f>VLOOKUP(G86,[2]MasterSheet!$B$16:$N$143,11,)</f>
        <v>-</v>
      </c>
      <c r="L86" s="182" t="str">
        <f>IFERROR(K86*I86,"-")</f>
        <v>-</v>
      </c>
    </row>
    <row r="87" spans="2:12" outlineLevel="1">
      <c r="B87" s="111"/>
      <c r="C87" s="106"/>
      <c r="D87" s="15" t="str">
        <f>VLOOKUP(G87,$B$5:$L$155,3,)</f>
        <v>떡볶이소스</v>
      </c>
      <c r="E87" s="15" t="str">
        <f>VLOOKUP(G87,$B$5:$L$155,4,)</f>
        <v>Tteokbokki Sauce</v>
      </c>
      <c r="F87" s="16"/>
      <c r="G87" s="15" t="s">
        <v>978</v>
      </c>
      <c r="H87" s="15"/>
      <c r="I87" s="107">
        <v>1000</v>
      </c>
      <c r="J87" s="15" t="str">
        <f>VLOOKUP(G87,$B$5:$L$155,9,)</f>
        <v>g</v>
      </c>
      <c r="K87" s="108">
        <f>VLOOKUP(G87,$B$5:$L$155,10,)</f>
        <v>40.796892979467636</v>
      </c>
      <c r="L87" s="182">
        <f>IFERROR(K87*I87,"-")</f>
        <v>40796.892979467637</v>
      </c>
    </row>
    <row r="88" spans="2:12">
      <c r="B88" s="111" t="s">
        <v>951</v>
      </c>
      <c r="C88" s="113"/>
      <c r="D88" s="120" t="s">
        <v>952</v>
      </c>
      <c r="E88" s="120" t="s">
        <v>953</v>
      </c>
      <c r="F88" s="115"/>
      <c r="G88" s="120" t="s">
        <v>951</v>
      </c>
      <c r="H88" s="120"/>
      <c r="I88" s="116">
        <f>SUM(I89:I95)</f>
        <v>685</v>
      </c>
      <c r="J88" s="120" t="str">
        <f>J95</f>
        <v>g</v>
      </c>
      <c r="K88" s="119">
        <f>L88/I88</f>
        <v>40.796892979467636</v>
      </c>
      <c r="L88" s="116">
        <f>SUM(L89:L95)</f>
        <v>27945.871690935332</v>
      </c>
    </row>
    <row r="89" spans="2:12" outlineLevel="1">
      <c r="B89" s="111"/>
      <c r="C89" s="106"/>
      <c r="D89" s="15" t="str">
        <f>VLOOKUP(G89,[2]MasterSheet!$B$16:$N$143,2,)</f>
        <v>고추장</v>
      </c>
      <c r="E89" s="15" t="str">
        <f>VLOOKUP(G89,[2]MasterSheet!$B$16:$N$143,3,)</f>
        <v>Hot Pepper paste</v>
      </c>
      <c r="F89" s="16"/>
      <c r="G89" s="15" t="s">
        <v>733</v>
      </c>
      <c r="H89" s="15"/>
      <c r="I89" s="107">
        <v>100</v>
      </c>
      <c r="J89" s="15" t="str">
        <f>VLOOKUP(G89,[2]MasterSheet!$B$16:$N$143,10,)</f>
        <v>g</v>
      </c>
      <c r="K89" s="108">
        <f>VLOOKUP(G89,[2]MasterSheet!$B$16:$N$143,11,)</f>
        <v>2.589969696969697</v>
      </c>
      <c r="L89" s="182">
        <f>IFERROR(K89*I89,"-")</f>
        <v>258.9969696969697</v>
      </c>
    </row>
    <row r="90" spans="2:12" outlineLevel="1">
      <c r="B90" s="111"/>
      <c r="C90" s="106"/>
      <c r="D90" s="15" t="str">
        <f>VLOOKUP(G90,[2]MasterSheet!$B$16:$N$143,2,)</f>
        <v>고추가루(고운)</v>
      </c>
      <c r="E90" s="15" t="str">
        <f>VLOOKUP(G90,[2]MasterSheet!$B$16:$N$143,3,)</f>
        <v>Red Pepper Powder (Fine) - JAVA 4 Bubuk cabe padas</v>
      </c>
      <c r="F90" s="16"/>
      <c r="G90" s="15" t="s">
        <v>910</v>
      </c>
      <c r="H90" s="15"/>
      <c r="I90" s="107">
        <v>80</v>
      </c>
      <c r="J90" s="15" t="str">
        <f>VLOOKUP(G90,[2]MasterSheet!$B$16:$N$143,10,)</f>
        <v>g</v>
      </c>
      <c r="K90" s="108">
        <f>VLOOKUP(G90,[2]MasterSheet!$B$16:$N$143,11,)</f>
        <v>89.696969696969688</v>
      </c>
      <c r="L90" s="182">
        <f t="shared" ref="L90:L95" si="3">IFERROR(K90*I90,"-")</f>
        <v>7175.7575757575751</v>
      </c>
    </row>
    <row r="91" spans="2:12" outlineLevel="1">
      <c r="B91" s="111"/>
      <c r="C91" s="106"/>
      <c r="D91" s="15" t="str">
        <f>VLOOKUP(G91,[2]MasterSheet!$B$16:$N$143,2,)</f>
        <v>백설탕</v>
      </c>
      <c r="E91" s="15" t="str">
        <f>VLOOKUP(G91,[2]MasterSheet!$B$16:$N$143,3,)</f>
        <v>White Sugar</v>
      </c>
      <c r="F91" s="16"/>
      <c r="G91" s="15" t="s">
        <v>743</v>
      </c>
      <c r="H91" s="15"/>
      <c r="I91" s="107">
        <v>300</v>
      </c>
      <c r="J91" s="15" t="str">
        <f>VLOOKUP(G91,[2]MasterSheet!$B$16:$N$143,10,)</f>
        <v>g</v>
      </c>
      <c r="K91" s="108">
        <f>VLOOKUP(G91,[2]MasterSheet!$B$16:$N$143,11,)</f>
        <v>21.212121212121211</v>
      </c>
      <c r="L91" s="182">
        <f t="shared" si="3"/>
        <v>6363.6363636363631</v>
      </c>
    </row>
    <row r="92" spans="2:12" outlineLevel="1">
      <c r="B92" s="111"/>
      <c r="C92" s="106"/>
      <c r="D92" s="15" t="str">
        <f>VLOOKUP(G92,[2]MasterSheet!$B$16:$N$143,2,)</f>
        <v>다진마늘</v>
      </c>
      <c r="E92" s="15" t="str">
        <f>VLOOKUP(G92,[2]MasterSheet!$B$16:$N$143,3,)</f>
        <v>minced Garlic</v>
      </c>
      <c r="F92" s="16"/>
      <c r="G92" s="15" t="s">
        <v>641</v>
      </c>
      <c r="H92" s="15"/>
      <c r="I92" s="107">
        <v>50</v>
      </c>
      <c r="J92" s="15" t="str">
        <f>VLOOKUP(G92,[2]MasterSheet!$B$16:$N$143,10,)</f>
        <v>g</v>
      </c>
      <c r="K92" s="108">
        <f>VLOOKUP(G92,[2]MasterSheet!$B$16:$N$143,11,)</f>
        <v>45.454545454545453</v>
      </c>
      <c r="L92" s="182">
        <f t="shared" si="3"/>
        <v>2272.7272727272725</v>
      </c>
    </row>
    <row r="93" spans="2:12" outlineLevel="1">
      <c r="B93" s="111"/>
      <c r="C93" s="106"/>
      <c r="D93" s="15" t="str">
        <f>VLOOKUP(G93,[2]MasterSheet!$B$16:$N$143,2,)</f>
        <v>굴소스</v>
      </c>
      <c r="E93" s="15" t="str">
        <f>VLOOKUP(G93,[2]MasterSheet!$B$16:$N$143,3,)</f>
        <v>Oyster Sauce</v>
      </c>
      <c r="F93" s="16"/>
      <c r="G93" s="15" t="s">
        <v>950</v>
      </c>
      <c r="H93" s="15"/>
      <c r="I93" s="107">
        <v>50</v>
      </c>
      <c r="J93" s="15" t="str">
        <f>VLOOKUP(G93,[2]MasterSheet!$B$16:$N$143,10,)</f>
        <v>g</v>
      </c>
      <c r="K93" s="108">
        <f>VLOOKUP(G93,[2]MasterSheet!$B$16:$N$143,11,)</f>
        <v>71.495474222746964</v>
      </c>
      <c r="L93" s="182">
        <f t="shared" si="3"/>
        <v>3574.7737111373481</v>
      </c>
    </row>
    <row r="94" spans="2:12" outlineLevel="1">
      <c r="B94" s="111"/>
      <c r="C94" s="106"/>
      <c r="D94" s="15" t="str">
        <f>VLOOKUP(G94,[2]MasterSheet!$B$16:$N$143,2,)</f>
        <v>간장(진)</v>
      </c>
      <c r="E94" s="15" t="str">
        <f>VLOOKUP(G94,[2]MasterSheet!$B$16:$N$143,3,)</f>
        <v>Soy Sauce</v>
      </c>
      <c r="F94" s="16"/>
      <c r="G94" s="15" t="s">
        <v>744</v>
      </c>
      <c r="H94" s="15"/>
      <c r="I94" s="107">
        <v>100</v>
      </c>
      <c r="J94" s="15" t="str">
        <f>VLOOKUP(G94,[2]MasterSheet!$B$16:$N$143,10,)</f>
        <v>g</v>
      </c>
      <c r="K94" s="108">
        <f>VLOOKUP(G94,[2]MasterSheet!$B$16:$N$143,11,)</f>
        <v>80.353333333333339</v>
      </c>
      <c r="L94" s="182">
        <f t="shared" si="3"/>
        <v>8035.3333333333339</v>
      </c>
    </row>
    <row r="95" spans="2:12" outlineLevel="1">
      <c r="B95" s="111"/>
      <c r="C95" s="106"/>
      <c r="D95" s="15" t="str">
        <f>VLOOKUP(G95,[2]MasterSheet!$B$16:$N$143,2,)</f>
        <v>미원</v>
      </c>
      <c r="E95" s="15" t="str">
        <f>VLOOKUP(G95,[2]MasterSheet!$B$16:$N$143,3,)</f>
        <v>MSG(Ajinomoto)</v>
      </c>
      <c r="F95" s="16"/>
      <c r="G95" s="15" t="s">
        <v>745</v>
      </c>
      <c r="H95" s="15"/>
      <c r="I95" s="107">
        <v>5</v>
      </c>
      <c r="J95" s="15" t="str">
        <f>VLOOKUP(G95,[2]MasterSheet!$B$16:$N$143,10,)</f>
        <v>g</v>
      </c>
      <c r="K95" s="108">
        <f>VLOOKUP(G95,[2]MasterSheet!$B$16:$N$143,11,)</f>
        <v>52.929292929292927</v>
      </c>
      <c r="L95" s="182">
        <f t="shared" si="3"/>
        <v>264.64646464646466</v>
      </c>
    </row>
    <row r="96" spans="2:12" outlineLevel="1">
      <c r="B96" s="111"/>
      <c r="C96" s="106"/>
      <c r="D96" s="15" t="str">
        <f>VLOOKUP(G96,[2]MasterSheet!$B$16:$N$143,2,)</f>
        <v>불닭소스</v>
      </c>
      <c r="E96" s="15" t="str">
        <f>VLOOKUP(G96,[2]MasterSheet!$B$16:$N$143,3,)</f>
        <v>Buldak Sauce</v>
      </c>
      <c r="F96" s="16"/>
      <c r="G96" s="15" t="s">
        <v>1987</v>
      </c>
      <c r="H96" s="15"/>
      <c r="I96" s="107"/>
      <c r="J96" s="15" t="str">
        <f>VLOOKUP(G96,[2]MasterSheet!$B$16:$N$143,10,)</f>
        <v>g</v>
      </c>
      <c r="K96" s="108">
        <f>VLOOKUP(G96,[2]MasterSheet!$B$16:$N$143,11,)</f>
        <v>65.656565656565661</v>
      </c>
      <c r="L96" s="182">
        <f t="shared" ref="L96" si="4">IFERROR(K96*I96,"-")</f>
        <v>0</v>
      </c>
    </row>
    <row r="97" spans="2:12">
      <c r="B97" s="111"/>
      <c r="C97" s="106"/>
      <c r="D97" s="15"/>
      <c r="E97" s="15"/>
      <c r="F97" s="16"/>
      <c r="G97" s="15"/>
      <c r="H97" s="15"/>
      <c r="I97" s="107"/>
      <c r="J97" s="15"/>
      <c r="K97" s="108"/>
      <c r="L97" s="16"/>
    </row>
    <row r="98" spans="2:12">
      <c r="B98" s="111"/>
      <c r="C98" s="106"/>
      <c r="D98" s="15"/>
      <c r="E98" s="15"/>
      <c r="F98" s="16"/>
      <c r="G98" s="15"/>
      <c r="H98" s="15"/>
      <c r="I98" s="107"/>
      <c r="J98" s="15"/>
      <c r="K98" s="108"/>
      <c r="L98" s="16"/>
    </row>
    <row r="99" spans="2:12">
      <c r="B99" s="111"/>
      <c r="C99" s="106"/>
      <c r="D99" s="15"/>
      <c r="E99" s="15"/>
      <c r="F99" s="16"/>
      <c r="G99" s="15"/>
      <c r="H99" s="15"/>
      <c r="I99" s="107"/>
      <c r="J99" s="15"/>
      <c r="K99" s="108"/>
      <c r="L99" s="16"/>
    </row>
    <row r="100" spans="2:12">
      <c r="B100" s="111"/>
      <c r="C100" s="106"/>
      <c r="D100" s="15"/>
      <c r="E100" s="15"/>
      <c r="F100" s="16"/>
      <c r="G100" s="15"/>
      <c r="H100" s="15"/>
      <c r="I100" s="107"/>
      <c r="J100" s="15"/>
      <c r="K100" s="108"/>
      <c r="L100" s="16"/>
    </row>
    <row r="101" spans="2:12">
      <c r="B101" s="111"/>
      <c r="C101" s="106"/>
      <c r="D101" s="15"/>
      <c r="E101" s="15"/>
      <c r="F101" s="16"/>
      <c r="G101" s="15"/>
      <c r="H101" s="15"/>
      <c r="I101" s="107"/>
      <c r="J101" s="15"/>
      <c r="K101" s="108"/>
      <c r="L101" s="16"/>
    </row>
    <row r="102" spans="2:12">
      <c r="B102" s="111"/>
      <c r="C102" s="106"/>
      <c r="D102" s="15"/>
      <c r="E102" s="15"/>
      <c r="F102" s="16"/>
      <c r="G102" s="15"/>
      <c r="H102" s="15"/>
      <c r="I102" s="107"/>
      <c r="J102" s="15"/>
      <c r="K102" s="108"/>
      <c r="L102" s="16"/>
    </row>
    <row r="103" spans="2:12">
      <c r="B103" s="111"/>
      <c r="C103" s="106"/>
      <c r="D103" s="15"/>
      <c r="E103" s="15"/>
      <c r="F103" s="16"/>
      <c r="G103" s="15"/>
      <c r="H103" s="15"/>
      <c r="I103" s="107"/>
      <c r="J103" s="15"/>
      <c r="K103" s="108"/>
      <c r="L103" s="16"/>
    </row>
    <row r="104" spans="2:12">
      <c r="B104" s="111"/>
      <c r="C104" s="106"/>
      <c r="D104" s="15"/>
      <c r="E104" s="15"/>
      <c r="F104" s="16"/>
      <c r="G104" s="15"/>
      <c r="H104" s="15"/>
      <c r="I104" s="107"/>
      <c r="J104" s="15"/>
      <c r="K104" s="108"/>
      <c r="L104" s="16"/>
    </row>
    <row r="105" spans="2:12">
      <c r="B105" s="111"/>
      <c r="C105" s="106"/>
      <c r="D105" s="15"/>
      <c r="E105" s="15"/>
      <c r="F105" s="16"/>
      <c r="G105" s="15"/>
      <c r="H105" s="15"/>
      <c r="I105" s="107"/>
      <c r="J105" s="15"/>
      <c r="K105" s="108"/>
      <c r="L105" s="16"/>
    </row>
    <row r="106" spans="2:12">
      <c r="B106" s="111"/>
      <c r="C106" s="106"/>
      <c r="D106" s="15"/>
      <c r="E106" s="15"/>
      <c r="F106" s="16"/>
      <c r="G106" s="15"/>
      <c r="H106" s="15"/>
      <c r="I106" s="107"/>
      <c r="J106" s="15"/>
      <c r="K106" s="108"/>
      <c r="L106" s="16"/>
    </row>
    <row r="107" spans="2:12">
      <c r="B107" s="111"/>
      <c r="C107" s="106"/>
      <c r="D107" s="15"/>
      <c r="E107" s="15"/>
      <c r="F107" s="16"/>
      <c r="G107" s="15"/>
      <c r="H107" s="15"/>
      <c r="I107" s="107"/>
      <c r="J107" s="15"/>
      <c r="K107" s="108"/>
      <c r="L107" s="16"/>
    </row>
    <row r="108" spans="2:12">
      <c r="B108" s="111"/>
      <c r="C108" s="106"/>
      <c r="D108" s="15"/>
      <c r="E108" s="15"/>
      <c r="F108" s="16"/>
      <c r="G108" s="15"/>
      <c r="H108" s="15"/>
      <c r="I108" s="107"/>
      <c r="J108" s="15"/>
      <c r="K108" s="108"/>
      <c r="L108" s="16"/>
    </row>
    <row r="109" spans="2:12">
      <c r="B109" s="111"/>
      <c r="C109" s="106"/>
      <c r="D109" s="15"/>
      <c r="E109" s="15"/>
      <c r="F109" s="16"/>
      <c r="G109" s="15"/>
      <c r="H109" s="15"/>
      <c r="I109" s="107"/>
      <c r="J109" s="15"/>
      <c r="K109" s="108"/>
      <c r="L109" s="16"/>
    </row>
    <row r="110" spans="2:12">
      <c r="B110" s="111"/>
      <c r="C110" s="106"/>
      <c r="D110" s="15"/>
      <c r="E110" s="15"/>
      <c r="F110" s="16"/>
      <c r="G110" s="15"/>
      <c r="H110" s="15"/>
      <c r="I110" s="107"/>
      <c r="J110" s="15"/>
      <c r="K110" s="108"/>
      <c r="L110" s="16"/>
    </row>
    <row r="111" spans="2:12">
      <c r="B111" s="111"/>
      <c r="C111" s="106"/>
      <c r="D111" s="15"/>
      <c r="E111" s="15"/>
      <c r="F111" s="16"/>
      <c r="G111" s="15"/>
      <c r="H111" s="15"/>
      <c r="I111" s="107"/>
      <c r="J111" s="15"/>
      <c r="K111" s="108"/>
      <c r="L111" s="16"/>
    </row>
    <row r="112" spans="2:12">
      <c r="B112" s="111"/>
      <c r="C112" s="106"/>
      <c r="D112" s="15"/>
      <c r="E112" s="15"/>
      <c r="F112" s="16"/>
      <c r="G112" s="15"/>
      <c r="H112" s="15"/>
      <c r="I112" s="107"/>
      <c r="J112" s="15"/>
      <c r="K112" s="108"/>
      <c r="L112" s="16"/>
    </row>
    <row r="113" spans="2:12">
      <c r="B113" s="111"/>
      <c r="C113" s="106"/>
      <c r="D113" s="15"/>
      <c r="E113" s="15"/>
      <c r="F113" s="16"/>
      <c r="G113" s="15"/>
      <c r="H113" s="15"/>
      <c r="I113" s="107"/>
      <c r="J113" s="15"/>
      <c r="K113" s="108"/>
      <c r="L113" s="16"/>
    </row>
    <row r="114" spans="2:12">
      <c r="B114" s="111"/>
      <c r="C114" s="106"/>
      <c r="D114" s="15"/>
      <c r="E114" s="15"/>
      <c r="F114" s="16"/>
      <c r="G114" s="15"/>
      <c r="H114" s="15"/>
      <c r="I114" s="107"/>
      <c r="J114" s="15"/>
      <c r="K114" s="108"/>
      <c r="L114" s="16"/>
    </row>
    <row r="115" spans="2:12">
      <c r="B115" s="111"/>
      <c r="C115" s="106"/>
      <c r="D115" s="15"/>
      <c r="E115" s="15"/>
      <c r="F115" s="16"/>
      <c r="G115" s="15"/>
      <c r="H115" s="15"/>
      <c r="I115" s="107"/>
      <c r="J115" s="15"/>
      <c r="K115" s="108"/>
      <c r="L115" s="16"/>
    </row>
    <row r="116" spans="2:12">
      <c r="B116" s="111"/>
      <c r="C116" s="106"/>
      <c r="D116" s="15"/>
      <c r="E116" s="15"/>
      <c r="F116" s="16"/>
      <c r="G116" s="15"/>
      <c r="H116" s="15"/>
      <c r="I116" s="107"/>
      <c r="J116" s="15"/>
      <c r="K116" s="108"/>
      <c r="L116" s="16"/>
    </row>
    <row r="117" spans="2:12">
      <c r="B117" s="111"/>
      <c r="C117" s="106"/>
      <c r="D117" s="15"/>
      <c r="E117" s="15"/>
      <c r="F117" s="16"/>
      <c r="G117" s="15"/>
      <c r="H117" s="15"/>
      <c r="I117" s="107"/>
      <c r="J117" s="15"/>
      <c r="K117" s="108"/>
      <c r="L117" s="16"/>
    </row>
    <row r="118" spans="2:12">
      <c r="B118" s="111"/>
      <c r="C118" s="106"/>
      <c r="D118" s="15"/>
      <c r="E118" s="15"/>
      <c r="F118" s="16"/>
      <c r="G118" s="15"/>
      <c r="H118" s="15"/>
      <c r="I118" s="107"/>
      <c r="J118" s="15"/>
      <c r="K118" s="108"/>
      <c r="L118" s="16"/>
    </row>
    <row r="119" spans="2:12">
      <c r="B119" s="111"/>
      <c r="C119" s="106"/>
      <c r="D119" s="15"/>
      <c r="E119" s="15"/>
      <c r="F119" s="16"/>
      <c r="G119" s="15"/>
      <c r="H119" s="15"/>
      <c r="I119" s="107"/>
      <c r="J119" s="15"/>
      <c r="K119" s="108"/>
      <c r="L119" s="16"/>
    </row>
    <row r="120" spans="2:12">
      <c r="B120" s="111"/>
      <c r="C120" s="106"/>
      <c r="D120" s="15"/>
      <c r="E120" s="15"/>
      <c r="F120" s="16"/>
      <c r="G120" s="15"/>
      <c r="H120" s="15"/>
      <c r="I120" s="107"/>
      <c r="J120" s="15"/>
      <c r="K120" s="108"/>
      <c r="L120" s="16"/>
    </row>
    <row r="121" spans="2:12">
      <c r="B121" s="111"/>
      <c r="C121" s="106"/>
      <c r="D121" s="15"/>
      <c r="E121" s="15"/>
      <c r="F121" s="16"/>
      <c r="G121" s="15"/>
      <c r="H121" s="15"/>
      <c r="I121" s="107"/>
      <c r="J121" s="15"/>
      <c r="K121" s="108"/>
      <c r="L121" s="16"/>
    </row>
    <row r="122" spans="2:12">
      <c r="B122" s="111"/>
      <c r="C122" s="106"/>
      <c r="D122" s="15"/>
      <c r="E122" s="15"/>
      <c r="F122" s="16"/>
      <c r="G122" s="15"/>
      <c r="H122" s="15"/>
      <c r="I122" s="107"/>
      <c r="J122" s="15"/>
      <c r="K122" s="108"/>
      <c r="L122" s="16"/>
    </row>
    <row r="123" spans="2:12">
      <c r="B123" s="111"/>
      <c r="C123" s="106"/>
      <c r="D123" s="15"/>
      <c r="E123" s="15"/>
      <c r="F123" s="16"/>
      <c r="G123" s="15"/>
      <c r="H123" s="15"/>
      <c r="I123" s="107"/>
      <c r="J123" s="15"/>
      <c r="K123" s="108"/>
      <c r="L123" s="16"/>
    </row>
    <row r="124" spans="2:12">
      <c r="B124" s="111"/>
      <c r="C124" s="106"/>
      <c r="D124" s="15"/>
      <c r="E124" s="15"/>
      <c r="F124" s="16"/>
      <c r="G124" s="15"/>
      <c r="H124" s="15"/>
      <c r="I124" s="107"/>
      <c r="J124" s="15"/>
      <c r="K124" s="108"/>
      <c r="L124" s="16"/>
    </row>
    <row r="125" spans="2:12">
      <c r="B125" s="111"/>
      <c r="C125" s="106"/>
      <c r="D125" s="15"/>
      <c r="E125" s="15"/>
      <c r="F125" s="16"/>
      <c r="G125" s="15"/>
      <c r="H125" s="15"/>
      <c r="I125" s="107"/>
      <c r="J125" s="15"/>
      <c r="K125" s="108"/>
      <c r="L125" s="16"/>
    </row>
    <row r="126" spans="2:12">
      <c r="B126" s="111"/>
      <c r="C126" s="106"/>
      <c r="D126" s="15"/>
      <c r="E126" s="15"/>
      <c r="F126" s="16"/>
      <c r="G126" s="15"/>
      <c r="H126" s="15"/>
      <c r="I126" s="107"/>
      <c r="J126" s="15"/>
      <c r="K126" s="108"/>
      <c r="L126" s="16"/>
    </row>
    <row r="127" spans="2:12">
      <c r="B127" s="111"/>
      <c r="C127" s="106"/>
      <c r="D127" s="15"/>
      <c r="E127" s="15"/>
      <c r="F127" s="16"/>
      <c r="G127" s="15"/>
      <c r="H127" s="15"/>
      <c r="I127" s="107"/>
      <c r="J127" s="15"/>
      <c r="K127" s="108"/>
      <c r="L127" s="16"/>
    </row>
    <row r="128" spans="2:12">
      <c r="B128" s="111"/>
      <c r="C128" s="106"/>
      <c r="D128" s="15"/>
      <c r="E128" s="15"/>
      <c r="F128" s="16"/>
      <c r="G128" s="15"/>
      <c r="H128" s="15"/>
      <c r="I128" s="107"/>
      <c r="J128" s="15"/>
      <c r="K128" s="108"/>
      <c r="L128" s="16"/>
    </row>
    <row r="129" spans="2:12">
      <c r="B129" s="111"/>
      <c r="C129" s="106"/>
      <c r="D129" s="15"/>
      <c r="E129" s="15"/>
      <c r="F129" s="16"/>
      <c r="G129" s="15"/>
      <c r="H129" s="15"/>
      <c r="I129" s="107"/>
      <c r="J129" s="15"/>
      <c r="K129" s="108"/>
      <c r="L129" s="16"/>
    </row>
    <row r="130" spans="2:12">
      <c r="B130" s="111"/>
      <c r="C130" s="106"/>
      <c r="D130" s="15"/>
      <c r="E130" s="15"/>
      <c r="F130" s="16"/>
      <c r="G130" s="15"/>
      <c r="H130" s="15"/>
      <c r="I130" s="107"/>
      <c r="J130" s="15"/>
      <c r="K130" s="108"/>
      <c r="L130" s="16"/>
    </row>
    <row r="131" spans="2:12">
      <c r="B131" s="111"/>
      <c r="C131" s="106"/>
      <c r="D131" s="15"/>
      <c r="E131" s="15"/>
      <c r="F131" s="16"/>
      <c r="G131" s="15"/>
      <c r="H131" s="15"/>
      <c r="I131" s="107"/>
      <c r="J131" s="15"/>
      <c r="K131" s="108"/>
      <c r="L131" s="16"/>
    </row>
    <row r="132" spans="2:12">
      <c r="B132" s="111"/>
      <c r="C132" s="106"/>
      <c r="D132" s="15"/>
      <c r="E132" s="15"/>
      <c r="F132" s="16"/>
      <c r="G132" s="15"/>
      <c r="H132" s="15"/>
      <c r="I132" s="107"/>
      <c r="J132" s="15"/>
      <c r="K132" s="108"/>
      <c r="L132" s="16"/>
    </row>
    <row r="133" spans="2:12">
      <c r="B133" s="111"/>
      <c r="C133" s="106"/>
      <c r="D133" s="15"/>
      <c r="E133" s="15"/>
      <c r="F133" s="16"/>
      <c r="G133" s="15"/>
      <c r="H133" s="15"/>
      <c r="I133" s="107"/>
      <c r="J133" s="15"/>
      <c r="K133" s="108"/>
      <c r="L133" s="16"/>
    </row>
    <row r="134" spans="2:12">
      <c r="B134" s="111"/>
      <c r="C134" s="106"/>
      <c r="D134" s="15"/>
      <c r="E134" s="15"/>
      <c r="F134" s="16"/>
      <c r="G134" s="15"/>
      <c r="H134" s="15"/>
      <c r="I134" s="107"/>
      <c r="J134" s="15"/>
      <c r="K134" s="108"/>
      <c r="L134" s="16"/>
    </row>
    <row r="135" spans="2:12">
      <c r="B135" s="111"/>
      <c r="C135" s="106"/>
      <c r="D135" s="15"/>
      <c r="E135" s="15"/>
      <c r="F135" s="16"/>
      <c r="G135" s="15"/>
      <c r="H135" s="15"/>
      <c r="I135" s="107"/>
      <c r="J135" s="15"/>
      <c r="K135" s="108"/>
      <c r="L135" s="16"/>
    </row>
    <row r="136" spans="2:12">
      <c r="B136" s="111"/>
      <c r="C136" s="106"/>
      <c r="D136" s="15"/>
      <c r="E136" s="15"/>
      <c r="F136" s="16"/>
      <c r="G136" s="15"/>
      <c r="H136" s="15"/>
      <c r="I136" s="107"/>
      <c r="J136" s="15"/>
      <c r="K136" s="108"/>
      <c r="L136" s="16"/>
    </row>
    <row r="137" spans="2:12">
      <c r="B137" s="111"/>
      <c r="C137" s="106"/>
      <c r="D137" s="15"/>
      <c r="E137" s="15"/>
      <c r="F137" s="16"/>
      <c r="G137" s="15"/>
      <c r="H137" s="15"/>
      <c r="I137" s="107"/>
      <c r="J137" s="15"/>
      <c r="K137" s="108"/>
      <c r="L137" s="16"/>
    </row>
    <row r="138" spans="2:12">
      <c r="B138" s="111"/>
      <c r="C138" s="106"/>
      <c r="D138" s="15"/>
      <c r="E138" s="15"/>
      <c r="F138" s="16"/>
      <c r="G138" s="15"/>
      <c r="H138" s="15"/>
      <c r="I138" s="107"/>
      <c r="J138" s="15"/>
      <c r="K138" s="108"/>
      <c r="L138" s="16"/>
    </row>
    <row r="139" spans="2:12">
      <c r="B139" s="111"/>
      <c r="C139" s="106"/>
      <c r="D139" s="15"/>
      <c r="E139" s="15"/>
      <c r="F139" s="16"/>
      <c r="G139" s="15"/>
      <c r="H139" s="15"/>
      <c r="I139" s="107"/>
      <c r="J139" s="15"/>
      <c r="K139" s="108"/>
      <c r="L139" s="16"/>
    </row>
    <row r="140" spans="2:12">
      <c r="B140" s="111"/>
      <c r="C140" s="106"/>
      <c r="D140" s="15"/>
      <c r="E140" s="15"/>
      <c r="F140" s="16"/>
      <c r="G140" s="15"/>
      <c r="H140" s="15"/>
      <c r="I140" s="107"/>
      <c r="J140" s="15"/>
      <c r="K140" s="108"/>
      <c r="L140" s="16"/>
    </row>
    <row r="141" spans="2:12">
      <c r="B141" s="111"/>
      <c r="C141" s="106"/>
      <c r="D141" s="15"/>
      <c r="E141" s="15"/>
      <c r="F141" s="16"/>
      <c r="G141" s="15"/>
      <c r="H141" s="15"/>
      <c r="I141" s="107"/>
      <c r="J141" s="15"/>
      <c r="K141" s="108"/>
      <c r="L141" s="16"/>
    </row>
    <row r="142" spans="2:12">
      <c r="B142" s="111"/>
      <c r="C142" s="106"/>
      <c r="D142" s="15"/>
      <c r="E142" s="15"/>
      <c r="F142" s="16"/>
      <c r="G142" s="15"/>
      <c r="H142" s="15"/>
      <c r="I142" s="107"/>
      <c r="J142" s="15"/>
      <c r="K142" s="108"/>
      <c r="L142" s="16"/>
    </row>
    <row r="143" spans="2:12">
      <c r="B143" s="111"/>
      <c r="C143" s="106"/>
      <c r="D143" s="15"/>
      <c r="E143" s="15"/>
      <c r="F143" s="16"/>
      <c r="G143" s="15"/>
      <c r="H143" s="15"/>
      <c r="I143" s="107"/>
      <c r="J143" s="15"/>
      <c r="K143" s="108"/>
      <c r="L143" s="16"/>
    </row>
    <row r="144" spans="2:12">
      <c r="B144" s="111"/>
      <c r="C144" s="106"/>
      <c r="D144" s="15"/>
      <c r="E144" s="15"/>
      <c r="F144" s="16"/>
      <c r="G144" s="15"/>
      <c r="H144" s="15"/>
      <c r="I144" s="107"/>
      <c r="J144" s="15"/>
      <c r="K144" s="108"/>
      <c r="L144" s="16"/>
    </row>
    <row r="145" spans="2:12">
      <c r="B145" s="111"/>
      <c r="C145" s="106"/>
      <c r="D145" s="15"/>
      <c r="E145" s="15"/>
      <c r="F145" s="16"/>
      <c r="G145" s="15"/>
      <c r="H145" s="15"/>
      <c r="I145" s="107"/>
      <c r="J145" s="15"/>
      <c r="K145" s="108"/>
      <c r="L145" s="16"/>
    </row>
    <row r="146" spans="2:12">
      <c r="B146" s="111"/>
      <c r="C146" s="106"/>
      <c r="D146" s="15"/>
      <c r="E146" s="15"/>
      <c r="F146" s="16"/>
      <c r="G146" s="15"/>
      <c r="H146" s="15"/>
      <c r="I146" s="107"/>
      <c r="J146" s="15"/>
      <c r="K146" s="108"/>
      <c r="L146" s="16"/>
    </row>
    <row r="147" spans="2:12">
      <c r="B147" s="111"/>
      <c r="C147" s="106"/>
      <c r="D147" s="15"/>
      <c r="E147" s="15"/>
      <c r="F147" s="16"/>
      <c r="G147" s="15"/>
      <c r="H147" s="15"/>
      <c r="I147" s="107"/>
      <c r="J147" s="15"/>
      <c r="K147" s="108"/>
      <c r="L147" s="16"/>
    </row>
    <row r="148" spans="2:12">
      <c r="B148" s="111"/>
      <c r="C148" s="106"/>
      <c r="D148" s="15"/>
      <c r="E148" s="15"/>
      <c r="F148" s="16"/>
      <c r="G148" s="15"/>
      <c r="H148" s="15"/>
      <c r="I148" s="107"/>
      <c r="J148" s="15"/>
      <c r="K148" s="108"/>
      <c r="L148" s="16"/>
    </row>
    <row r="149" spans="2:12">
      <c r="B149" s="111"/>
      <c r="C149" s="106"/>
      <c r="D149" s="15"/>
      <c r="E149" s="15"/>
      <c r="F149" s="16"/>
      <c r="G149" s="15"/>
      <c r="H149" s="15"/>
      <c r="I149" s="107"/>
      <c r="J149" s="15"/>
      <c r="K149" s="108"/>
      <c r="L149" s="16"/>
    </row>
    <row r="150" spans="2:12">
      <c r="B150" s="111"/>
      <c r="C150" s="106"/>
      <c r="D150" s="15"/>
      <c r="E150" s="15"/>
      <c r="F150" s="16"/>
      <c r="G150" s="15"/>
      <c r="H150" s="15"/>
      <c r="I150" s="107"/>
      <c r="J150" s="15"/>
      <c r="K150" s="108"/>
      <c r="L150" s="16"/>
    </row>
    <row r="151" spans="2:12">
      <c r="B151" s="111"/>
      <c r="C151" s="106"/>
      <c r="D151" s="15"/>
      <c r="E151" s="15"/>
      <c r="F151" s="16"/>
      <c r="G151" s="15"/>
      <c r="H151" s="15"/>
      <c r="I151" s="107"/>
      <c r="J151" s="15"/>
      <c r="K151" s="108"/>
      <c r="L151" s="16"/>
    </row>
    <row r="152" spans="2:12">
      <c r="B152" s="111"/>
      <c r="C152" s="106"/>
      <c r="D152" s="15"/>
      <c r="E152" s="15"/>
      <c r="F152" s="16"/>
      <c r="G152" s="15"/>
      <c r="H152" s="15"/>
      <c r="I152" s="107"/>
      <c r="J152" s="15"/>
      <c r="K152" s="108"/>
      <c r="L152" s="16"/>
    </row>
    <row r="153" spans="2:12">
      <c r="B153" s="111"/>
      <c r="C153" s="106"/>
      <c r="D153" s="15"/>
      <c r="E153" s="15"/>
      <c r="F153" s="16"/>
      <c r="G153" s="15"/>
      <c r="H153" s="15"/>
      <c r="I153" s="107"/>
      <c r="J153" s="15"/>
      <c r="K153" s="108"/>
      <c r="L153" s="16"/>
    </row>
    <row r="154" spans="2:12">
      <c r="B154" s="111"/>
      <c r="C154" s="106"/>
      <c r="D154" s="15"/>
      <c r="E154" s="15"/>
      <c r="F154" s="16"/>
      <c r="G154" s="15"/>
      <c r="H154" s="15"/>
      <c r="I154" s="107"/>
      <c r="J154" s="15"/>
      <c r="K154" s="108"/>
      <c r="L154" s="16"/>
    </row>
    <row r="155" spans="2:12">
      <c r="B155" s="111"/>
      <c r="C155" s="106"/>
      <c r="D155" s="15"/>
      <c r="E155" s="15"/>
      <c r="F155" s="16"/>
      <c r="G155" s="15"/>
      <c r="H155" s="15"/>
      <c r="I155" s="107"/>
      <c r="J155" s="15"/>
      <c r="K155" s="108"/>
      <c r="L155" s="16"/>
    </row>
    <row r="156" spans="2:12">
      <c r="B156" s="111"/>
      <c r="C156" s="106"/>
      <c r="D156" s="15"/>
      <c r="E156" s="15"/>
      <c r="F156" s="16"/>
      <c r="G156" s="15"/>
      <c r="H156" s="15"/>
      <c r="I156" s="107"/>
      <c r="J156" s="15"/>
      <c r="K156" s="108"/>
      <c r="L156" s="16"/>
    </row>
    <row r="157" spans="2:12">
      <c r="B157" s="111"/>
      <c r="C157" s="106"/>
      <c r="D157" s="15"/>
      <c r="E157" s="15"/>
      <c r="F157" s="16"/>
      <c r="G157" s="15"/>
      <c r="H157" s="15"/>
      <c r="I157" s="107"/>
      <c r="J157" s="15"/>
      <c r="K157" s="108"/>
      <c r="L157" s="16"/>
    </row>
    <row r="158" spans="2:12">
      <c r="B158" s="111"/>
      <c r="C158" s="106"/>
      <c r="D158" s="15"/>
      <c r="E158" s="15"/>
      <c r="F158" s="16"/>
      <c r="G158" s="15"/>
      <c r="H158" s="15"/>
      <c r="I158" s="107"/>
      <c r="J158" s="15"/>
      <c r="K158" s="108"/>
      <c r="L158" s="16"/>
    </row>
    <row r="159" spans="2:12">
      <c r="B159" s="111"/>
      <c r="C159" s="106"/>
      <c r="D159" s="15"/>
      <c r="E159" s="15"/>
      <c r="F159" s="16"/>
      <c r="G159" s="15"/>
      <c r="H159" s="15"/>
      <c r="I159" s="107"/>
      <c r="J159" s="15"/>
      <c r="K159" s="108"/>
      <c r="L159" s="16"/>
    </row>
    <row r="160" spans="2:12">
      <c r="B160" s="111"/>
      <c r="C160" s="106"/>
      <c r="D160" s="15"/>
      <c r="E160" s="15"/>
      <c r="F160" s="16"/>
      <c r="G160" s="15"/>
      <c r="H160" s="15"/>
      <c r="I160" s="107"/>
      <c r="J160" s="15"/>
      <c r="K160" s="108"/>
      <c r="L160" s="16"/>
    </row>
    <row r="161" spans="2:12">
      <c r="B161" s="111"/>
      <c r="C161" s="106"/>
      <c r="D161" s="15"/>
      <c r="E161" s="15"/>
      <c r="F161" s="16"/>
      <c r="G161" s="15"/>
      <c r="H161" s="15"/>
      <c r="I161" s="107"/>
      <c r="J161" s="15"/>
      <c r="K161" s="108"/>
      <c r="L161" s="16"/>
    </row>
    <row r="162" spans="2:12">
      <c r="B162" s="111"/>
      <c r="C162" s="106"/>
      <c r="D162" s="15"/>
      <c r="E162" s="15"/>
      <c r="F162" s="16"/>
      <c r="G162" s="15"/>
      <c r="H162" s="15"/>
      <c r="I162" s="107"/>
      <c r="J162" s="15"/>
      <c r="K162" s="108"/>
      <c r="L162" s="16"/>
    </row>
    <row r="163" spans="2:12">
      <c r="B163" s="111"/>
      <c r="C163" s="106"/>
      <c r="D163" s="15"/>
      <c r="E163" s="15"/>
      <c r="F163" s="16"/>
      <c r="G163" s="15"/>
      <c r="H163" s="15"/>
      <c r="I163" s="107"/>
      <c r="J163" s="15"/>
      <c r="K163" s="108"/>
      <c r="L163" s="16"/>
    </row>
    <row r="164" spans="2:12">
      <c r="B164" s="111"/>
      <c r="C164" s="106"/>
      <c r="D164" s="15"/>
      <c r="E164" s="15"/>
      <c r="F164" s="16"/>
      <c r="G164" s="15"/>
      <c r="H164" s="15"/>
      <c r="I164" s="107"/>
      <c r="J164" s="15"/>
      <c r="K164" s="108"/>
      <c r="L164" s="16"/>
    </row>
    <row r="165" spans="2:12">
      <c r="B165" s="111"/>
      <c r="C165" s="106"/>
      <c r="D165" s="15"/>
      <c r="E165" s="15"/>
      <c r="F165" s="16"/>
      <c r="G165" s="15"/>
      <c r="H165" s="15"/>
      <c r="I165" s="107"/>
      <c r="J165" s="15"/>
      <c r="K165" s="108"/>
      <c r="L165" s="16"/>
    </row>
    <row r="166" spans="2:12">
      <c r="B166" s="111"/>
      <c r="C166" s="106"/>
      <c r="D166" s="15"/>
      <c r="E166" s="15"/>
      <c r="F166" s="16"/>
      <c r="G166" s="15"/>
      <c r="H166" s="15"/>
      <c r="I166" s="107"/>
      <c r="J166" s="15"/>
      <c r="K166" s="108"/>
      <c r="L166" s="16"/>
    </row>
    <row r="167" spans="2:12">
      <c r="B167" s="111"/>
      <c r="C167" s="106"/>
      <c r="D167" s="15"/>
      <c r="E167" s="15"/>
      <c r="F167" s="16"/>
      <c r="G167" s="15"/>
      <c r="H167" s="15"/>
      <c r="I167" s="107"/>
      <c r="J167" s="15"/>
      <c r="K167" s="108"/>
      <c r="L167" s="16"/>
    </row>
    <row r="168" spans="2:12">
      <c r="B168" s="111"/>
      <c r="C168" s="106"/>
      <c r="D168" s="15"/>
      <c r="E168" s="15"/>
      <c r="F168" s="16"/>
      <c r="G168" s="15"/>
      <c r="H168" s="15"/>
      <c r="I168" s="107"/>
      <c r="J168" s="15"/>
      <c r="K168" s="108"/>
      <c r="L168" s="16"/>
    </row>
    <row r="169" spans="2:12">
      <c r="B169" s="111"/>
      <c r="C169" s="106"/>
      <c r="D169" s="15"/>
      <c r="E169" s="15"/>
      <c r="F169" s="16"/>
      <c r="G169" s="15"/>
      <c r="H169" s="15"/>
      <c r="I169" s="107"/>
      <c r="J169" s="15"/>
      <c r="K169" s="108"/>
      <c r="L169" s="16"/>
    </row>
    <row r="170" spans="2:12">
      <c r="B170" s="111"/>
      <c r="C170" s="106"/>
      <c r="D170" s="15"/>
      <c r="E170" s="15"/>
      <c r="F170" s="16"/>
      <c r="G170" s="15"/>
      <c r="H170" s="15"/>
      <c r="I170" s="107"/>
      <c r="J170" s="15"/>
      <c r="K170" s="108"/>
      <c r="L170" s="16"/>
    </row>
    <row r="171" spans="2:12">
      <c r="B171" s="111"/>
      <c r="C171" s="106"/>
      <c r="D171" s="15"/>
      <c r="E171" s="15"/>
      <c r="F171" s="16"/>
      <c r="G171" s="15"/>
      <c r="H171" s="15"/>
      <c r="I171" s="107"/>
      <c r="J171" s="15"/>
      <c r="K171" s="108"/>
      <c r="L171" s="16"/>
    </row>
    <row r="172" spans="2:12">
      <c r="B172" s="111"/>
      <c r="C172" s="106"/>
      <c r="D172" s="15"/>
      <c r="E172" s="15"/>
      <c r="F172" s="16"/>
      <c r="G172" s="15"/>
      <c r="H172" s="15"/>
      <c r="I172" s="107"/>
      <c r="J172" s="15"/>
      <c r="K172" s="108"/>
      <c r="L172" s="16"/>
    </row>
    <row r="173" spans="2:12">
      <c r="B173" s="111"/>
      <c r="C173" s="106"/>
      <c r="D173" s="15"/>
      <c r="E173" s="15"/>
      <c r="F173" s="16"/>
      <c r="G173" s="15"/>
      <c r="H173" s="15"/>
      <c r="I173" s="107"/>
      <c r="J173" s="15"/>
      <c r="K173" s="108"/>
      <c r="L173" s="16"/>
    </row>
    <row r="174" spans="2:12">
      <c r="B174" s="111"/>
      <c r="C174" s="106"/>
      <c r="D174" s="15"/>
      <c r="E174" s="15"/>
      <c r="F174" s="16"/>
      <c r="G174" s="15"/>
      <c r="H174" s="15"/>
      <c r="I174" s="107"/>
      <c r="J174" s="15"/>
      <c r="K174" s="108"/>
      <c r="L174" s="16"/>
    </row>
    <row r="175" spans="2:12">
      <c r="B175" s="111"/>
      <c r="C175" s="106"/>
      <c r="D175" s="15"/>
      <c r="E175" s="15"/>
      <c r="F175" s="16"/>
      <c r="G175" s="15"/>
      <c r="H175" s="15"/>
      <c r="I175" s="107"/>
      <c r="J175" s="15"/>
      <c r="K175" s="108"/>
      <c r="L175" s="16"/>
    </row>
    <row r="176" spans="2:12">
      <c r="B176" s="111"/>
      <c r="C176" s="106"/>
      <c r="D176" s="15"/>
      <c r="E176" s="15"/>
      <c r="F176" s="16"/>
      <c r="G176" s="15"/>
      <c r="H176" s="15"/>
      <c r="I176" s="107"/>
      <c r="J176" s="15"/>
      <c r="K176" s="108"/>
      <c r="L176" s="16"/>
    </row>
    <row r="177" spans="2:12">
      <c r="B177" s="111"/>
      <c r="C177" s="106"/>
      <c r="D177" s="15"/>
      <c r="E177" s="15"/>
      <c r="F177" s="16"/>
      <c r="G177" s="15"/>
      <c r="H177" s="15"/>
      <c r="I177" s="107"/>
      <c r="J177" s="15"/>
      <c r="K177" s="108"/>
      <c r="L177" s="16"/>
    </row>
    <row r="178" spans="2:12">
      <c r="B178" s="111"/>
      <c r="C178" s="106"/>
      <c r="D178" s="15"/>
      <c r="E178" s="15"/>
      <c r="F178" s="16"/>
      <c r="G178" s="15"/>
      <c r="H178" s="15"/>
      <c r="I178" s="107"/>
      <c r="J178" s="15"/>
      <c r="K178" s="108"/>
      <c r="L178" s="16"/>
    </row>
    <row r="179" spans="2:12">
      <c r="B179" s="111"/>
      <c r="C179" s="106"/>
      <c r="D179" s="15"/>
      <c r="E179" s="15"/>
      <c r="F179" s="16"/>
      <c r="G179" s="15"/>
      <c r="H179" s="15"/>
      <c r="I179" s="107"/>
      <c r="J179" s="15"/>
      <c r="K179" s="108"/>
      <c r="L179" s="16"/>
    </row>
    <row r="180" spans="2:12">
      <c r="B180" s="111"/>
      <c r="C180" s="106"/>
      <c r="D180" s="15"/>
      <c r="E180" s="15"/>
      <c r="F180" s="16"/>
      <c r="G180" s="15"/>
      <c r="H180" s="15"/>
      <c r="I180" s="107"/>
      <c r="J180" s="15"/>
      <c r="K180" s="108"/>
      <c r="L180" s="16"/>
    </row>
    <row r="181" spans="2:12">
      <c r="B181" s="111"/>
      <c r="C181" s="106"/>
      <c r="D181" s="15"/>
      <c r="E181" s="15"/>
      <c r="F181" s="16"/>
      <c r="G181" s="15"/>
      <c r="H181" s="15"/>
      <c r="I181" s="107"/>
      <c r="J181" s="15"/>
      <c r="K181" s="108"/>
      <c r="L181" s="16"/>
    </row>
    <row r="182" spans="2:12">
      <c r="B182" s="111"/>
      <c r="C182" s="106"/>
      <c r="D182" s="15"/>
      <c r="E182" s="15"/>
      <c r="F182" s="16"/>
      <c r="G182" s="15"/>
      <c r="H182" s="15"/>
      <c r="I182" s="107"/>
      <c r="J182" s="15"/>
      <c r="K182" s="108"/>
      <c r="L182" s="16"/>
    </row>
    <row r="183" spans="2:12">
      <c r="B183" s="111"/>
      <c r="C183" s="106"/>
      <c r="D183" s="15"/>
      <c r="E183" s="15"/>
      <c r="F183" s="16"/>
      <c r="G183" s="15"/>
      <c r="H183" s="15"/>
      <c r="I183" s="107"/>
      <c r="J183" s="15"/>
      <c r="K183" s="108"/>
      <c r="L183" s="16"/>
    </row>
    <row r="184" spans="2:12">
      <c r="B184" s="111"/>
      <c r="C184" s="106"/>
      <c r="D184" s="15"/>
      <c r="E184" s="15"/>
      <c r="F184" s="16"/>
      <c r="G184" s="15"/>
      <c r="H184" s="15"/>
      <c r="I184" s="107"/>
      <c r="J184" s="15"/>
      <c r="K184" s="108"/>
      <c r="L184" s="16"/>
    </row>
    <row r="185" spans="2:12">
      <c r="B185" s="111"/>
      <c r="C185" s="106"/>
      <c r="D185" s="15"/>
      <c r="E185" s="15"/>
      <c r="F185" s="16"/>
      <c r="G185" s="15"/>
      <c r="H185" s="15"/>
      <c r="I185" s="107"/>
      <c r="J185" s="15"/>
      <c r="K185" s="108"/>
      <c r="L185" s="16"/>
    </row>
    <row r="186" spans="2:12">
      <c r="B186" s="111"/>
      <c r="C186" s="106"/>
      <c r="D186" s="15"/>
      <c r="E186" s="15"/>
      <c r="F186" s="16"/>
      <c r="G186" s="15"/>
      <c r="H186" s="15"/>
      <c r="I186" s="107"/>
      <c r="J186" s="15"/>
      <c r="K186" s="108"/>
      <c r="L186" s="16"/>
    </row>
    <row r="187" spans="2:12">
      <c r="B187" s="111"/>
      <c r="C187" s="106"/>
      <c r="D187" s="15"/>
      <c r="E187" s="15"/>
      <c r="F187" s="16"/>
      <c r="G187" s="15"/>
      <c r="H187" s="15"/>
      <c r="I187" s="107"/>
      <c r="J187" s="15"/>
      <c r="K187" s="108"/>
      <c r="L187" s="16"/>
    </row>
    <row r="188" spans="2:12">
      <c r="B188" s="111"/>
      <c r="C188" s="106"/>
      <c r="D188" s="15"/>
      <c r="E188" s="15"/>
      <c r="F188" s="16"/>
      <c r="G188" s="15"/>
      <c r="H188" s="15"/>
      <c r="I188" s="107"/>
      <c r="J188" s="15"/>
      <c r="K188" s="108"/>
      <c r="L188" s="16"/>
    </row>
    <row r="189" spans="2:12">
      <c r="B189" s="111"/>
      <c r="C189" s="106"/>
      <c r="D189" s="15"/>
      <c r="E189" s="15"/>
      <c r="F189" s="16"/>
      <c r="G189" s="15"/>
      <c r="H189" s="15"/>
      <c r="I189" s="107"/>
      <c r="J189" s="15"/>
      <c r="K189" s="108"/>
      <c r="L189" s="16"/>
    </row>
    <row r="190" spans="2:12">
      <c r="B190" s="111"/>
      <c r="C190" s="106"/>
      <c r="D190" s="15"/>
      <c r="E190" s="15"/>
      <c r="F190" s="16"/>
      <c r="G190" s="15"/>
      <c r="H190" s="15"/>
      <c r="I190" s="107"/>
      <c r="J190" s="15"/>
      <c r="K190" s="108"/>
      <c r="L190" s="16"/>
    </row>
    <row r="191" spans="2:12">
      <c r="B191" s="111"/>
      <c r="C191" s="106"/>
      <c r="D191" s="15"/>
      <c r="E191" s="15"/>
      <c r="F191" s="16"/>
      <c r="G191" s="15"/>
      <c r="H191" s="15"/>
      <c r="I191" s="107"/>
      <c r="J191" s="15"/>
      <c r="K191" s="108"/>
      <c r="L191" s="16"/>
    </row>
    <row r="192" spans="2:12">
      <c r="B192" s="111"/>
      <c r="C192" s="106"/>
      <c r="D192" s="15"/>
      <c r="E192" s="15"/>
      <c r="F192" s="16"/>
      <c r="G192" s="15"/>
      <c r="H192" s="15"/>
      <c r="I192" s="107"/>
      <c r="J192" s="15"/>
      <c r="K192" s="108"/>
      <c r="L192" s="16"/>
    </row>
    <row r="193" spans="2:12">
      <c r="B193" s="111"/>
      <c r="C193" s="106"/>
      <c r="D193" s="15"/>
      <c r="E193" s="15"/>
      <c r="F193" s="16"/>
      <c r="G193" s="15"/>
      <c r="H193" s="15"/>
      <c r="I193" s="107"/>
      <c r="J193" s="15"/>
      <c r="K193" s="108"/>
      <c r="L193" s="16"/>
    </row>
    <row r="194" spans="2:12">
      <c r="B194" s="111"/>
      <c r="C194" s="106"/>
      <c r="D194" s="15"/>
      <c r="E194" s="15"/>
      <c r="F194" s="16"/>
      <c r="G194" s="15"/>
      <c r="H194" s="15"/>
      <c r="I194" s="107"/>
      <c r="J194" s="15"/>
      <c r="K194" s="108"/>
      <c r="L194" s="16"/>
    </row>
    <row r="195" spans="2:12">
      <c r="B195" s="111"/>
      <c r="C195" s="106"/>
      <c r="D195" s="15"/>
      <c r="E195" s="15"/>
      <c r="F195" s="16"/>
      <c r="G195" s="15"/>
      <c r="H195" s="15"/>
      <c r="I195" s="107"/>
      <c r="J195" s="15"/>
      <c r="K195" s="108"/>
      <c r="L195" s="16"/>
    </row>
    <row r="196" spans="2:12">
      <c r="B196" s="111"/>
      <c r="C196" s="106"/>
      <c r="D196" s="15"/>
      <c r="E196" s="15"/>
      <c r="F196" s="16"/>
      <c r="G196" s="15"/>
      <c r="H196" s="15"/>
      <c r="I196" s="107"/>
      <c r="J196" s="15"/>
      <c r="K196" s="108"/>
      <c r="L196" s="16"/>
    </row>
    <row r="197" spans="2:12">
      <c r="B197" s="111"/>
      <c r="C197" s="106"/>
      <c r="D197" s="15"/>
      <c r="E197" s="15"/>
      <c r="F197" s="16"/>
      <c r="G197" s="15"/>
      <c r="H197" s="15"/>
      <c r="I197" s="107"/>
      <c r="J197" s="15"/>
      <c r="K197" s="108"/>
      <c r="L197" s="16"/>
    </row>
    <row r="198" spans="2:12">
      <c r="B198" s="111"/>
      <c r="C198" s="106"/>
      <c r="D198" s="15"/>
      <c r="E198" s="15"/>
      <c r="F198" s="16"/>
      <c r="G198" s="15"/>
      <c r="H198" s="15"/>
      <c r="I198" s="107"/>
      <c r="J198" s="15"/>
      <c r="K198" s="108"/>
      <c r="L198" s="16"/>
    </row>
    <row r="199" spans="2:12">
      <c r="B199" s="111"/>
      <c r="C199" s="106"/>
      <c r="D199" s="15"/>
      <c r="E199" s="15"/>
      <c r="F199" s="16"/>
      <c r="G199" s="15"/>
      <c r="H199" s="15"/>
      <c r="I199" s="107"/>
      <c r="J199" s="15"/>
      <c r="K199" s="108"/>
      <c r="L199" s="16"/>
    </row>
    <row r="200" spans="2:12">
      <c r="B200" s="111"/>
      <c r="C200" s="106"/>
      <c r="D200" s="15"/>
      <c r="E200" s="15"/>
      <c r="F200" s="16"/>
      <c r="G200" s="15"/>
      <c r="H200" s="15"/>
      <c r="I200" s="107"/>
      <c r="J200" s="15"/>
      <c r="K200" s="108"/>
      <c r="L200" s="16"/>
    </row>
    <row r="201" spans="2:12">
      <c r="B201" s="111"/>
      <c r="C201" s="106"/>
      <c r="D201" s="15"/>
      <c r="E201" s="15"/>
      <c r="F201" s="16"/>
      <c r="G201" s="15"/>
      <c r="H201" s="15"/>
      <c r="I201" s="107"/>
      <c r="J201" s="15"/>
      <c r="K201" s="108"/>
      <c r="L201" s="16"/>
    </row>
    <row r="202" spans="2:12">
      <c r="B202" s="111"/>
      <c r="C202" s="106"/>
      <c r="D202" s="15"/>
      <c r="E202" s="15"/>
      <c r="F202" s="16"/>
      <c r="G202" s="15"/>
      <c r="H202" s="15"/>
      <c r="I202" s="107"/>
      <c r="J202" s="15"/>
      <c r="K202" s="108"/>
      <c r="L202" s="16"/>
    </row>
    <row r="203" spans="2:12">
      <c r="B203" s="111"/>
      <c r="C203" s="106"/>
      <c r="D203" s="15"/>
      <c r="E203" s="15"/>
      <c r="F203" s="16"/>
      <c r="G203" s="15"/>
      <c r="H203" s="15"/>
      <c r="I203" s="107"/>
      <c r="J203" s="15"/>
      <c r="K203" s="108"/>
      <c r="L203" s="16"/>
    </row>
    <row r="204" spans="2:12">
      <c r="B204" s="111"/>
      <c r="C204" s="106"/>
      <c r="D204" s="15"/>
      <c r="E204" s="15"/>
      <c r="F204" s="16"/>
      <c r="G204" s="15"/>
      <c r="H204" s="15"/>
      <c r="I204" s="107"/>
      <c r="J204" s="15"/>
      <c r="K204" s="108"/>
      <c r="L204" s="16"/>
    </row>
    <row r="205" spans="2:12">
      <c r="B205" s="111"/>
      <c r="C205" s="106"/>
      <c r="D205" s="15"/>
      <c r="E205" s="15"/>
      <c r="F205" s="16"/>
      <c r="G205" s="15"/>
      <c r="H205" s="15"/>
      <c r="I205" s="107"/>
      <c r="J205" s="15"/>
      <c r="K205" s="108"/>
      <c r="L205" s="16"/>
    </row>
    <row r="206" spans="2:12">
      <c r="B206" s="111"/>
      <c r="C206" s="106"/>
      <c r="D206" s="15"/>
      <c r="E206" s="15"/>
      <c r="F206" s="16"/>
      <c r="G206" s="15"/>
      <c r="H206" s="15"/>
      <c r="I206" s="107"/>
      <c r="J206" s="15"/>
      <c r="K206" s="108"/>
      <c r="L206" s="16"/>
    </row>
    <row r="207" spans="2:12">
      <c r="B207" s="111"/>
      <c r="C207" s="106"/>
      <c r="D207" s="15"/>
      <c r="E207" s="15"/>
      <c r="F207" s="16"/>
      <c r="G207" s="15"/>
      <c r="H207" s="15"/>
      <c r="I207" s="107"/>
      <c r="J207" s="15"/>
      <c r="K207" s="108"/>
      <c r="L207" s="16"/>
    </row>
    <row r="208" spans="2:12">
      <c r="B208" s="111"/>
      <c r="C208" s="106"/>
      <c r="D208" s="15"/>
      <c r="E208" s="15"/>
      <c r="F208" s="16"/>
      <c r="G208" s="15"/>
      <c r="H208" s="15"/>
      <c r="I208" s="107"/>
      <c r="J208" s="15"/>
      <c r="K208" s="108"/>
      <c r="L208" s="16"/>
    </row>
    <row r="209" spans="2:12">
      <c r="B209" s="111"/>
      <c r="C209" s="106"/>
      <c r="D209" s="15"/>
      <c r="E209" s="15"/>
      <c r="F209" s="16"/>
      <c r="G209" s="15"/>
      <c r="H209" s="15"/>
      <c r="I209" s="107"/>
      <c r="J209" s="15"/>
      <c r="K209" s="108"/>
      <c r="L209" s="16"/>
    </row>
    <row r="210" spans="2:12">
      <c r="B210" s="111"/>
      <c r="C210" s="106"/>
      <c r="D210" s="15"/>
      <c r="E210" s="15"/>
      <c r="F210" s="16"/>
      <c r="G210" s="15"/>
      <c r="H210" s="15"/>
      <c r="I210" s="107"/>
      <c r="J210" s="15"/>
      <c r="K210" s="108"/>
      <c r="L210" s="16"/>
    </row>
    <row r="211" spans="2:12">
      <c r="B211" s="111"/>
      <c r="C211" s="106"/>
      <c r="D211" s="15"/>
      <c r="E211" s="15"/>
      <c r="F211" s="16"/>
      <c r="G211" s="15"/>
      <c r="H211" s="15"/>
      <c r="I211" s="107"/>
      <c r="J211" s="15"/>
      <c r="K211" s="108"/>
      <c r="L211" s="16"/>
    </row>
    <row r="212" spans="2:12">
      <c r="B212" s="111"/>
      <c r="C212" s="106"/>
      <c r="D212" s="15"/>
      <c r="E212" s="15"/>
      <c r="F212" s="16"/>
      <c r="G212" s="15"/>
      <c r="H212" s="15"/>
      <c r="I212" s="107"/>
      <c r="J212" s="15"/>
      <c r="K212" s="108"/>
      <c r="L212" s="16"/>
    </row>
    <row r="213" spans="2:12">
      <c r="B213" s="111"/>
      <c r="C213" s="106"/>
      <c r="D213" s="15"/>
      <c r="E213" s="15"/>
      <c r="F213" s="16"/>
      <c r="G213" s="15"/>
      <c r="H213" s="15"/>
      <c r="I213" s="107"/>
      <c r="J213" s="15"/>
      <c r="K213" s="108"/>
      <c r="L213" s="16"/>
    </row>
    <row r="214" spans="2:12">
      <c r="B214" s="111"/>
      <c r="C214" s="106"/>
      <c r="D214" s="15"/>
      <c r="E214" s="15"/>
      <c r="F214" s="16"/>
      <c r="G214" s="15"/>
      <c r="H214" s="15"/>
      <c r="I214" s="107"/>
      <c r="J214" s="15"/>
      <c r="K214" s="108"/>
      <c r="L214" s="16"/>
    </row>
    <row r="215" spans="2:12">
      <c r="B215" s="111"/>
      <c r="C215" s="106"/>
      <c r="D215" s="15"/>
      <c r="E215" s="15"/>
      <c r="F215" s="16"/>
      <c r="G215" s="15"/>
      <c r="H215" s="15"/>
      <c r="I215" s="107"/>
      <c r="J215" s="15"/>
      <c r="K215" s="108"/>
      <c r="L215" s="16"/>
    </row>
    <row r="216" spans="2:12">
      <c r="B216" s="111"/>
      <c r="C216" s="106"/>
      <c r="D216" s="15"/>
      <c r="E216" s="15"/>
      <c r="F216" s="16"/>
      <c r="G216" s="15"/>
      <c r="H216" s="15"/>
      <c r="I216" s="107"/>
      <c r="J216" s="15"/>
      <c r="K216" s="108"/>
      <c r="L216" s="16"/>
    </row>
    <row r="217" spans="2:12">
      <c r="B217" s="111"/>
      <c r="C217" s="106"/>
      <c r="D217" s="15"/>
      <c r="E217" s="15"/>
      <c r="F217" s="16"/>
      <c r="G217" s="15"/>
      <c r="H217" s="15"/>
      <c r="I217" s="107"/>
      <c r="J217" s="15"/>
      <c r="K217" s="108"/>
      <c r="L217" s="16"/>
    </row>
    <row r="218" spans="2:12">
      <c r="B218" s="111"/>
      <c r="C218" s="106"/>
      <c r="D218" s="15"/>
      <c r="E218" s="15"/>
      <c r="F218" s="16"/>
      <c r="G218" s="15"/>
      <c r="H218" s="15"/>
      <c r="I218" s="107"/>
      <c r="J218" s="15"/>
      <c r="K218" s="108"/>
      <c r="L218" s="16"/>
    </row>
    <row r="219" spans="2:12">
      <c r="B219" s="111"/>
      <c r="C219" s="106"/>
      <c r="D219" s="15"/>
      <c r="E219" s="15"/>
      <c r="F219" s="16"/>
      <c r="G219" s="15"/>
      <c r="H219" s="15"/>
      <c r="I219" s="107"/>
      <c r="J219" s="15"/>
      <c r="K219" s="108"/>
      <c r="L219" s="16"/>
    </row>
    <row r="220" spans="2:12">
      <c r="B220" s="111"/>
      <c r="C220" s="106"/>
      <c r="D220" s="15"/>
      <c r="E220" s="15"/>
      <c r="F220" s="16"/>
      <c r="G220" s="15"/>
      <c r="H220" s="15"/>
      <c r="I220" s="107"/>
      <c r="J220" s="15"/>
      <c r="K220" s="108"/>
      <c r="L220" s="16"/>
    </row>
    <row r="221" spans="2:12">
      <c r="B221" s="111"/>
      <c r="C221" s="106"/>
      <c r="D221" s="15"/>
      <c r="E221" s="15"/>
      <c r="F221" s="16"/>
      <c r="G221" s="15"/>
      <c r="H221" s="15"/>
      <c r="I221" s="107"/>
      <c r="J221" s="15"/>
      <c r="K221" s="108"/>
      <c r="L221" s="16"/>
    </row>
    <row r="222" spans="2:12">
      <c r="B222" s="111"/>
      <c r="C222" s="106"/>
      <c r="D222" s="15"/>
      <c r="E222" s="15"/>
      <c r="F222" s="16"/>
      <c r="G222" s="15"/>
      <c r="H222" s="15"/>
      <c r="I222" s="107"/>
      <c r="J222" s="15"/>
      <c r="K222" s="108"/>
      <c r="L222" s="16"/>
    </row>
    <row r="223" spans="2:12">
      <c r="B223" s="111"/>
      <c r="C223" s="106"/>
      <c r="D223" s="15"/>
      <c r="E223" s="15"/>
      <c r="F223" s="16"/>
      <c r="G223" s="15"/>
      <c r="H223" s="15"/>
      <c r="I223" s="107"/>
      <c r="J223" s="15"/>
      <c r="K223" s="108"/>
      <c r="L223" s="16"/>
    </row>
    <row r="224" spans="2:12">
      <c r="B224" s="111"/>
      <c r="C224" s="106"/>
      <c r="D224" s="15"/>
      <c r="E224" s="15"/>
      <c r="F224" s="16"/>
      <c r="G224" s="15"/>
      <c r="H224" s="15"/>
      <c r="I224" s="107"/>
      <c r="J224" s="15"/>
      <c r="K224" s="108"/>
      <c r="L224" s="16"/>
    </row>
    <row r="225" spans="2:12">
      <c r="B225" s="111"/>
      <c r="C225" s="106"/>
      <c r="D225" s="15"/>
      <c r="E225" s="15"/>
      <c r="F225" s="16"/>
      <c r="G225" s="15"/>
      <c r="H225" s="15"/>
      <c r="I225" s="107"/>
      <c r="J225" s="15"/>
      <c r="K225" s="108"/>
      <c r="L225" s="16"/>
    </row>
    <row r="226" spans="2:12">
      <c r="B226" s="111"/>
      <c r="C226" s="106"/>
      <c r="D226" s="15"/>
      <c r="E226" s="15"/>
      <c r="F226" s="16"/>
      <c r="G226" s="15"/>
      <c r="H226" s="15"/>
      <c r="I226" s="107"/>
      <c r="J226" s="15"/>
      <c r="K226" s="108"/>
      <c r="L226" s="16"/>
    </row>
    <row r="227" spans="2:12">
      <c r="B227" s="111"/>
      <c r="C227" s="106"/>
      <c r="D227" s="15"/>
      <c r="E227" s="15"/>
      <c r="F227" s="16"/>
      <c r="G227" s="15"/>
      <c r="H227" s="15"/>
      <c r="I227" s="107"/>
      <c r="J227" s="15"/>
      <c r="K227" s="108"/>
      <c r="L227" s="16"/>
    </row>
    <row r="228" spans="2:12">
      <c r="B228" s="111"/>
      <c r="C228" s="106"/>
      <c r="D228" s="15"/>
      <c r="E228" s="15"/>
      <c r="F228" s="16"/>
      <c r="G228" s="15"/>
      <c r="H228" s="15"/>
      <c r="I228" s="107"/>
      <c r="J228" s="15"/>
      <c r="K228" s="108"/>
      <c r="L228" s="16"/>
    </row>
    <row r="229" spans="2:12">
      <c r="B229" s="111"/>
      <c r="C229" s="106"/>
      <c r="D229" s="15"/>
      <c r="E229" s="15"/>
      <c r="F229" s="16"/>
      <c r="G229" s="15"/>
      <c r="H229" s="15"/>
      <c r="I229" s="107"/>
      <c r="J229" s="15"/>
      <c r="K229" s="108"/>
      <c r="L229" s="16"/>
    </row>
    <row r="230" spans="2:12">
      <c r="B230" s="111"/>
      <c r="C230" s="106"/>
      <c r="D230" s="15"/>
      <c r="E230" s="15"/>
      <c r="F230" s="16"/>
      <c r="G230" s="15"/>
      <c r="H230" s="15"/>
      <c r="I230" s="107"/>
      <c r="J230" s="15"/>
      <c r="K230" s="108"/>
      <c r="L230" s="16"/>
    </row>
    <row r="231" spans="2:12">
      <c r="B231" s="111"/>
      <c r="C231" s="106"/>
      <c r="D231" s="15"/>
      <c r="E231" s="15"/>
      <c r="F231" s="16"/>
      <c r="G231" s="15"/>
      <c r="H231" s="15"/>
      <c r="I231" s="107"/>
      <c r="J231" s="15"/>
      <c r="K231" s="108"/>
      <c r="L231" s="16"/>
    </row>
    <row r="232" spans="2:12">
      <c r="B232" s="111"/>
      <c r="C232" s="106"/>
      <c r="D232" s="15"/>
      <c r="E232" s="15"/>
      <c r="F232" s="16"/>
      <c r="G232" s="15"/>
      <c r="H232" s="15"/>
      <c r="I232" s="107"/>
      <c r="J232" s="15"/>
      <c r="K232" s="108"/>
      <c r="L232" s="16"/>
    </row>
    <row r="233" spans="2:12">
      <c r="B233" s="111"/>
      <c r="C233" s="106"/>
      <c r="D233" s="15"/>
      <c r="E233" s="15"/>
      <c r="F233" s="16"/>
      <c r="G233" s="15"/>
      <c r="H233" s="15"/>
      <c r="I233" s="107"/>
      <c r="J233" s="15"/>
      <c r="K233" s="108"/>
      <c r="L233" s="16"/>
    </row>
    <row r="234" spans="2:12">
      <c r="B234" s="111"/>
      <c r="C234" s="106"/>
      <c r="D234" s="15"/>
      <c r="E234" s="15"/>
      <c r="F234" s="16"/>
      <c r="G234" s="15"/>
      <c r="H234" s="15"/>
      <c r="I234" s="107"/>
      <c r="J234" s="15"/>
      <c r="K234" s="108"/>
      <c r="L234" s="16"/>
    </row>
    <row r="235" spans="2:12">
      <c r="B235" s="111"/>
      <c r="C235" s="106"/>
      <c r="D235" s="15"/>
      <c r="E235" s="15"/>
      <c r="F235" s="16"/>
      <c r="G235" s="15"/>
      <c r="H235" s="15"/>
      <c r="I235" s="107"/>
      <c r="J235" s="15"/>
      <c r="K235" s="108"/>
      <c r="L235" s="16"/>
    </row>
    <row r="236" spans="2:12">
      <c r="B236" s="111"/>
      <c r="C236" s="106"/>
      <c r="D236" s="15"/>
      <c r="E236" s="15"/>
      <c r="F236" s="16"/>
      <c r="G236" s="15"/>
      <c r="H236" s="15"/>
      <c r="I236" s="107"/>
      <c r="J236" s="15"/>
      <c r="K236" s="108"/>
      <c r="L236" s="16"/>
    </row>
    <row r="237" spans="2:12">
      <c r="B237" s="111"/>
      <c r="C237" s="106"/>
      <c r="D237" s="15"/>
      <c r="E237" s="15"/>
      <c r="F237" s="16"/>
      <c r="G237" s="15"/>
      <c r="H237" s="15"/>
      <c r="I237" s="107"/>
      <c r="J237" s="15"/>
      <c r="K237" s="108"/>
      <c r="L237" s="16"/>
    </row>
    <row r="238" spans="2:12">
      <c r="B238" s="111"/>
      <c r="C238" s="106"/>
      <c r="D238" s="15"/>
      <c r="E238" s="15"/>
      <c r="F238" s="16"/>
      <c r="G238" s="15"/>
      <c r="H238" s="15"/>
      <c r="I238" s="107"/>
      <c r="J238" s="15"/>
      <c r="K238" s="108"/>
      <c r="L238" s="16"/>
    </row>
    <row r="239" spans="2:12">
      <c r="B239" s="111"/>
      <c r="C239" s="106"/>
      <c r="D239" s="15"/>
      <c r="E239" s="15"/>
      <c r="F239" s="16"/>
      <c r="G239" s="15"/>
      <c r="H239" s="15"/>
      <c r="I239" s="107"/>
      <c r="J239" s="15"/>
      <c r="K239" s="108"/>
      <c r="L239" s="16"/>
    </row>
    <row r="240" spans="2:12">
      <c r="B240" s="111"/>
      <c r="C240" s="106"/>
      <c r="D240" s="15"/>
      <c r="E240" s="15"/>
      <c r="F240" s="16"/>
      <c r="G240" s="15"/>
      <c r="H240" s="15"/>
      <c r="I240" s="107"/>
      <c r="J240" s="15"/>
      <c r="K240" s="108"/>
      <c r="L240" s="16"/>
    </row>
    <row r="241" spans="2:12">
      <c r="B241" s="111"/>
      <c r="C241" s="106"/>
      <c r="D241" s="15"/>
      <c r="E241" s="15"/>
      <c r="F241" s="16"/>
      <c r="G241" s="15"/>
      <c r="H241" s="15"/>
      <c r="I241" s="107"/>
      <c r="J241" s="15"/>
      <c r="K241" s="108"/>
      <c r="L241" s="16"/>
    </row>
    <row r="242" spans="2:12">
      <c r="B242" s="111"/>
      <c r="C242" s="106"/>
      <c r="D242" s="15"/>
      <c r="E242" s="15"/>
      <c r="F242" s="16"/>
      <c r="G242" s="15"/>
      <c r="H242" s="15"/>
      <c r="I242" s="107"/>
      <c r="J242" s="15"/>
      <c r="K242" s="108"/>
      <c r="L242" s="16"/>
    </row>
    <row r="243" spans="2:12">
      <c r="B243" s="111"/>
      <c r="C243" s="106"/>
      <c r="D243" s="15"/>
      <c r="E243" s="15"/>
      <c r="F243" s="16"/>
      <c r="G243" s="15"/>
      <c r="H243" s="15"/>
      <c r="I243" s="107"/>
      <c r="J243" s="15"/>
      <c r="K243" s="108"/>
      <c r="L243" s="16"/>
    </row>
    <row r="244" spans="2:12">
      <c r="B244" s="111"/>
      <c r="C244" s="106"/>
      <c r="D244" s="15"/>
      <c r="E244" s="15"/>
      <c r="F244" s="16"/>
      <c r="G244" s="15"/>
      <c r="H244" s="15"/>
      <c r="I244" s="107"/>
      <c r="J244" s="15"/>
      <c r="K244" s="108"/>
      <c r="L244" s="16"/>
    </row>
    <row r="245" spans="2:12">
      <c r="B245" s="111"/>
      <c r="C245" s="106"/>
      <c r="D245" s="15"/>
      <c r="E245" s="15"/>
      <c r="F245" s="16"/>
      <c r="G245" s="15"/>
      <c r="H245" s="15"/>
      <c r="I245" s="107"/>
      <c r="J245" s="15"/>
      <c r="K245" s="108"/>
      <c r="L245" s="16"/>
    </row>
    <row r="246" spans="2:12">
      <c r="B246" s="111"/>
      <c r="C246" s="106"/>
      <c r="D246" s="15"/>
      <c r="E246" s="15"/>
      <c r="F246" s="16"/>
      <c r="G246" s="15"/>
      <c r="H246" s="15"/>
      <c r="I246" s="107"/>
      <c r="J246" s="15"/>
      <c r="K246" s="108"/>
      <c r="L246" s="16"/>
    </row>
    <row r="247" spans="2:12">
      <c r="B247" s="111"/>
      <c r="C247" s="106"/>
      <c r="D247" s="15"/>
      <c r="E247" s="15"/>
      <c r="F247" s="16"/>
      <c r="G247" s="15"/>
      <c r="H247" s="15"/>
      <c r="I247" s="107"/>
      <c r="J247" s="15"/>
      <c r="K247" s="108"/>
      <c r="L247" s="16"/>
    </row>
    <row r="248" spans="2:12">
      <c r="B248" s="111"/>
      <c r="C248" s="106"/>
      <c r="D248" s="15"/>
      <c r="E248" s="15"/>
      <c r="F248" s="16"/>
      <c r="G248" s="15"/>
      <c r="H248" s="15"/>
      <c r="I248" s="107"/>
      <c r="J248" s="15"/>
      <c r="K248" s="108"/>
      <c r="L248" s="16"/>
    </row>
    <row r="249" spans="2:12">
      <c r="B249" s="111"/>
      <c r="C249" s="106"/>
      <c r="D249" s="15"/>
      <c r="E249" s="15"/>
      <c r="F249" s="16"/>
      <c r="G249" s="15"/>
      <c r="H249" s="15"/>
      <c r="I249" s="107"/>
      <c r="J249" s="15"/>
      <c r="K249" s="108"/>
      <c r="L249" s="16"/>
    </row>
    <row r="250" spans="2:12">
      <c r="B250" s="111"/>
      <c r="C250" s="106"/>
      <c r="D250" s="15"/>
      <c r="E250" s="15"/>
      <c r="F250" s="16"/>
      <c r="G250" s="15"/>
      <c r="H250" s="15"/>
      <c r="I250" s="107"/>
      <c r="J250" s="15"/>
      <c r="K250" s="108"/>
      <c r="L250" s="16"/>
    </row>
    <row r="251" spans="2:12">
      <c r="B251" s="111"/>
      <c r="C251" s="106"/>
      <c r="D251" s="15"/>
      <c r="E251" s="15"/>
      <c r="F251" s="16"/>
      <c r="G251" s="15"/>
      <c r="H251" s="15"/>
      <c r="I251" s="107"/>
      <c r="J251" s="15"/>
      <c r="K251" s="108"/>
      <c r="L251" s="16"/>
    </row>
    <row r="252" spans="2:12">
      <c r="B252" s="111"/>
      <c r="C252" s="106"/>
      <c r="D252" s="15"/>
      <c r="E252" s="15"/>
      <c r="F252" s="16"/>
      <c r="G252" s="15"/>
      <c r="H252" s="15"/>
      <c r="I252" s="107"/>
      <c r="J252" s="15"/>
      <c r="K252" s="108"/>
      <c r="L252" s="16"/>
    </row>
    <row r="253" spans="2:12">
      <c r="B253" s="111"/>
      <c r="C253" s="106"/>
      <c r="D253" s="15"/>
      <c r="E253" s="15"/>
      <c r="F253" s="16"/>
      <c r="G253" s="15"/>
      <c r="H253" s="15"/>
      <c r="I253" s="107"/>
      <c r="J253" s="15"/>
      <c r="K253" s="108"/>
      <c r="L253" s="16"/>
    </row>
    <row r="254" spans="2:12">
      <c r="B254" s="111"/>
      <c r="C254" s="106"/>
      <c r="D254" s="15"/>
      <c r="E254" s="15"/>
      <c r="F254" s="16"/>
      <c r="G254" s="15"/>
      <c r="H254" s="15"/>
      <c r="I254" s="107"/>
      <c r="J254" s="15"/>
      <c r="K254" s="108"/>
      <c r="L254" s="16"/>
    </row>
    <row r="255" spans="2:12">
      <c r="B255" s="111"/>
      <c r="C255" s="106"/>
      <c r="D255" s="15"/>
      <c r="E255" s="15"/>
      <c r="F255" s="16"/>
      <c r="G255" s="15"/>
      <c r="H255" s="15"/>
      <c r="I255" s="107"/>
      <c r="J255" s="15"/>
      <c r="K255" s="108"/>
      <c r="L255" s="16"/>
    </row>
    <row r="256" spans="2:12">
      <c r="B256" s="111"/>
      <c r="C256" s="106"/>
      <c r="D256" s="15"/>
      <c r="E256" s="15"/>
      <c r="F256" s="16"/>
      <c r="G256" s="15"/>
      <c r="H256" s="15"/>
      <c r="I256" s="107"/>
      <c r="J256" s="15"/>
      <c r="K256" s="108"/>
      <c r="L256" s="16"/>
    </row>
    <row r="257" spans="2:12">
      <c r="B257" s="111"/>
      <c r="C257" s="106"/>
      <c r="D257" s="15"/>
      <c r="E257" s="15"/>
      <c r="F257" s="16"/>
      <c r="G257" s="15"/>
      <c r="H257" s="15"/>
      <c r="I257" s="107"/>
      <c r="J257" s="15"/>
      <c r="K257" s="108"/>
      <c r="L257" s="16"/>
    </row>
    <row r="258" spans="2:12">
      <c r="B258" s="111"/>
      <c r="C258" s="106"/>
      <c r="D258" s="15"/>
      <c r="E258" s="15"/>
      <c r="F258" s="16"/>
      <c r="G258" s="15"/>
      <c r="H258" s="15"/>
      <c r="I258" s="107"/>
      <c r="J258" s="15"/>
      <c r="K258" s="108"/>
      <c r="L258" s="16"/>
    </row>
    <row r="259" spans="2:12">
      <c r="B259" s="111"/>
      <c r="C259" s="106"/>
      <c r="D259" s="15"/>
      <c r="E259" s="15"/>
      <c r="F259" s="16"/>
      <c r="G259" s="15"/>
      <c r="H259" s="15"/>
      <c r="I259" s="107"/>
      <c r="J259" s="15"/>
      <c r="K259" s="108"/>
      <c r="L259" s="16"/>
    </row>
    <row r="260" spans="2:12">
      <c r="B260" s="111"/>
      <c r="C260" s="106"/>
      <c r="D260" s="15"/>
      <c r="E260" s="15"/>
      <c r="F260" s="16"/>
      <c r="G260" s="15"/>
      <c r="H260" s="15"/>
      <c r="I260" s="107"/>
      <c r="J260" s="15"/>
      <c r="K260" s="108"/>
      <c r="L260" s="16"/>
    </row>
    <row r="261" spans="2:12">
      <c r="B261" s="111"/>
      <c r="C261" s="106"/>
      <c r="D261" s="15"/>
      <c r="E261" s="15"/>
      <c r="F261" s="16"/>
      <c r="G261" s="15"/>
      <c r="H261" s="15"/>
      <c r="I261" s="107"/>
      <c r="J261" s="15"/>
      <c r="K261" s="108"/>
      <c r="L261" s="16"/>
    </row>
    <row r="262" spans="2:12">
      <c r="B262" s="111"/>
      <c r="C262" s="106"/>
      <c r="D262" s="15"/>
      <c r="E262" s="15"/>
      <c r="F262" s="16"/>
      <c r="G262" s="15"/>
      <c r="H262" s="15"/>
      <c r="I262" s="107"/>
      <c r="J262" s="15"/>
      <c r="K262" s="108"/>
      <c r="L262" s="16"/>
    </row>
    <row r="263" spans="2:12">
      <c r="B263" s="111"/>
      <c r="C263" s="106"/>
      <c r="D263" s="15"/>
      <c r="E263" s="15"/>
      <c r="F263" s="16"/>
      <c r="G263" s="15"/>
      <c r="H263" s="15"/>
      <c r="I263" s="107"/>
      <c r="J263" s="15"/>
      <c r="K263" s="108"/>
      <c r="L263" s="16"/>
    </row>
    <row r="264" spans="2:12">
      <c r="B264" s="111"/>
      <c r="C264" s="106"/>
      <c r="D264" s="15"/>
      <c r="E264" s="15"/>
      <c r="F264" s="16"/>
      <c r="G264" s="15"/>
      <c r="H264" s="15"/>
      <c r="I264" s="107"/>
      <c r="J264" s="15"/>
      <c r="K264" s="108"/>
      <c r="L264" s="16"/>
    </row>
    <row r="265" spans="2:12">
      <c r="B265" s="111"/>
      <c r="C265" s="106"/>
      <c r="D265" s="15"/>
      <c r="E265" s="15"/>
      <c r="F265" s="16"/>
      <c r="G265" s="15"/>
      <c r="H265" s="15"/>
      <c r="I265" s="107"/>
      <c r="J265" s="15"/>
      <c r="K265" s="108"/>
      <c r="L265" s="16"/>
    </row>
    <row r="266" spans="2:12">
      <c r="B266" s="111"/>
      <c r="C266" s="106"/>
      <c r="D266" s="15"/>
      <c r="E266" s="15"/>
      <c r="F266" s="16"/>
      <c r="G266" s="15"/>
      <c r="H266" s="15"/>
      <c r="I266" s="107"/>
      <c r="J266" s="15"/>
      <c r="K266" s="108"/>
      <c r="L266" s="16"/>
    </row>
    <row r="267" spans="2:12">
      <c r="B267" s="111"/>
      <c r="C267" s="106"/>
      <c r="D267" s="15"/>
      <c r="E267" s="15"/>
      <c r="F267" s="16"/>
      <c r="G267" s="15"/>
      <c r="H267" s="15"/>
      <c r="I267" s="107"/>
      <c r="J267" s="15"/>
      <c r="K267" s="108"/>
      <c r="L267" s="16"/>
    </row>
    <row r="268" spans="2:12">
      <c r="B268" s="111"/>
      <c r="C268" s="106"/>
      <c r="D268" s="15"/>
      <c r="E268" s="15"/>
      <c r="F268" s="16"/>
      <c r="G268" s="15"/>
      <c r="H268" s="15"/>
      <c r="I268" s="107"/>
      <c r="J268" s="15"/>
      <c r="K268" s="108"/>
      <c r="L268" s="16"/>
    </row>
    <row r="269" spans="2:12">
      <c r="B269" s="111"/>
      <c r="C269" s="106"/>
      <c r="D269" s="15"/>
      <c r="E269" s="15"/>
      <c r="F269" s="16"/>
      <c r="G269" s="15"/>
      <c r="H269" s="15"/>
      <c r="I269" s="107"/>
      <c r="J269" s="15"/>
      <c r="K269" s="108"/>
      <c r="L269" s="16"/>
    </row>
    <row r="270" spans="2:12">
      <c r="B270" s="111"/>
      <c r="C270" s="106"/>
      <c r="D270" s="15"/>
      <c r="E270" s="15"/>
      <c r="F270" s="16"/>
      <c r="G270" s="15"/>
      <c r="H270" s="15"/>
      <c r="I270" s="107"/>
      <c r="J270" s="15"/>
      <c r="K270" s="108"/>
      <c r="L270" s="16"/>
    </row>
    <row r="271" spans="2:12">
      <c r="B271" s="111"/>
      <c r="C271" s="106"/>
      <c r="D271" s="15"/>
      <c r="E271" s="15"/>
      <c r="F271" s="16"/>
      <c r="G271" s="15"/>
      <c r="H271" s="15"/>
      <c r="I271" s="107"/>
      <c r="J271" s="15"/>
      <c r="K271" s="108"/>
      <c r="L271" s="16"/>
    </row>
    <row r="272" spans="2:12">
      <c r="B272" s="111"/>
      <c r="C272" s="106"/>
      <c r="D272" s="15"/>
      <c r="E272" s="15"/>
      <c r="F272" s="16"/>
      <c r="G272" s="15"/>
      <c r="H272" s="15"/>
      <c r="I272" s="107"/>
      <c r="J272" s="15"/>
      <c r="K272" s="108"/>
      <c r="L272" s="16"/>
    </row>
    <row r="273" spans="2:12">
      <c r="B273" s="111"/>
      <c r="C273" s="106"/>
      <c r="D273" s="15"/>
      <c r="E273" s="15"/>
      <c r="F273" s="16"/>
      <c r="G273" s="15"/>
      <c r="H273" s="15"/>
      <c r="I273" s="107"/>
      <c r="J273" s="15"/>
      <c r="K273" s="108"/>
      <c r="L273" s="16"/>
    </row>
    <row r="274" spans="2:12">
      <c r="B274" s="111"/>
      <c r="C274" s="106"/>
      <c r="D274" s="15"/>
      <c r="E274" s="15"/>
      <c r="F274" s="16"/>
      <c r="G274" s="15"/>
      <c r="H274" s="15"/>
      <c r="I274" s="107"/>
      <c r="J274" s="15"/>
      <c r="K274" s="108"/>
      <c r="L274" s="16"/>
    </row>
    <row r="275" spans="2:12">
      <c r="B275" s="111"/>
      <c r="C275" s="106"/>
      <c r="D275" s="15"/>
      <c r="E275" s="15"/>
      <c r="F275" s="16"/>
      <c r="G275" s="15"/>
      <c r="H275" s="15"/>
      <c r="I275" s="107"/>
      <c r="J275" s="15"/>
      <c r="K275" s="108"/>
      <c r="L275" s="16"/>
    </row>
    <row r="276" spans="2:12">
      <c r="B276" s="111"/>
      <c r="C276" s="106"/>
      <c r="D276" s="15"/>
      <c r="E276" s="15"/>
      <c r="F276" s="16"/>
      <c r="G276" s="15"/>
      <c r="H276" s="15"/>
      <c r="I276" s="107"/>
      <c r="J276" s="15"/>
      <c r="K276" s="108"/>
      <c r="L276" s="16"/>
    </row>
    <row r="277" spans="2:12">
      <c r="B277" s="111"/>
      <c r="C277" s="106"/>
      <c r="D277" s="15"/>
      <c r="E277" s="15"/>
      <c r="F277" s="16"/>
      <c r="G277" s="15"/>
      <c r="H277" s="15"/>
      <c r="I277" s="107"/>
      <c r="J277" s="15"/>
      <c r="K277" s="108"/>
      <c r="L277" s="16"/>
    </row>
    <row r="278" spans="2:12">
      <c r="B278" s="111"/>
      <c r="C278" s="106"/>
      <c r="D278" s="15"/>
      <c r="E278" s="15"/>
      <c r="F278" s="16"/>
      <c r="G278" s="15"/>
      <c r="H278" s="15"/>
      <c r="I278" s="107"/>
      <c r="J278" s="15"/>
      <c r="K278" s="108"/>
      <c r="L278" s="16"/>
    </row>
    <row r="279" spans="2:12">
      <c r="B279" s="111"/>
      <c r="C279" s="106"/>
      <c r="D279" s="15"/>
      <c r="E279" s="15"/>
      <c r="F279" s="16"/>
      <c r="G279" s="15"/>
      <c r="H279" s="15"/>
      <c r="I279" s="107"/>
      <c r="J279" s="15"/>
      <c r="K279" s="108"/>
      <c r="L279" s="16"/>
    </row>
    <row r="280" spans="2:12">
      <c r="B280" s="111"/>
      <c r="C280" s="106"/>
      <c r="D280" s="15"/>
      <c r="E280" s="15"/>
      <c r="F280" s="16"/>
      <c r="G280" s="15"/>
      <c r="H280" s="15"/>
      <c r="I280" s="107"/>
      <c r="J280" s="15"/>
      <c r="K280" s="108"/>
      <c r="L280" s="16"/>
    </row>
    <row r="281" spans="2:12">
      <c r="B281" s="111"/>
      <c r="C281" s="106"/>
      <c r="D281" s="15"/>
      <c r="E281" s="15"/>
      <c r="F281" s="16"/>
      <c r="G281" s="15"/>
      <c r="H281" s="15"/>
      <c r="I281" s="107"/>
      <c r="J281" s="15"/>
      <c r="K281" s="108"/>
      <c r="L281" s="16"/>
    </row>
    <row r="282" spans="2:12">
      <c r="B282" s="111"/>
      <c r="C282" s="106"/>
      <c r="D282" s="15"/>
      <c r="E282" s="15"/>
      <c r="F282" s="16"/>
      <c r="G282" s="15"/>
      <c r="H282" s="15"/>
      <c r="I282" s="107"/>
      <c r="J282" s="15"/>
      <c r="K282" s="108"/>
      <c r="L282" s="16"/>
    </row>
    <row r="283" spans="2:12">
      <c r="B283" s="111"/>
      <c r="C283" s="106"/>
      <c r="D283" s="15"/>
      <c r="E283" s="15"/>
      <c r="F283" s="16"/>
      <c r="G283" s="15"/>
      <c r="H283" s="15"/>
      <c r="I283" s="107"/>
      <c r="J283" s="15"/>
      <c r="K283" s="108"/>
      <c r="L283" s="16"/>
    </row>
    <row r="284" spans="2:12">
      <c r="B284" s="111"/>
      <c r="C284" s="106"/>
      <c r="D284" s="15"/>
      <c r="E284" s="15"/>
      <c r="F284" s="16"/>
      <c r="G284" s="15"/>
      <c r="H284" s="15"/>
      <c r="I284" s="107"/>
      <c r="J284" s="15"/>
      <c r="K284" s="108"/>
      <c r="L284" s="16"/>
    </row>
    <row r="285" spans="2:12">
      <c r="B285" s="111"/>
      <c r="C285" s="106"/>
      <c r="D285" s="15"/>
      <c r="E285" s="15"/>
      <c r="F285" s="16"/>
      <c r="G285" s="15"/>
      <c r="H285" s="15"/>
      <c r="I285" s="107"/>
      <c r="J285" s="15"/>
      <c r="K285" s="108"/>
      <c r="L285" s="16"/>
    </row>
    <row r="286" spans="2:12">
      <c r="B286" s="111"/>
      <c r="C286" s="106"/>
      <c r="D286" s="15"/>
      <c r="E286" s="15"/>
      <c r="F286" s="16"/>
      <c r="G286" s="15"/>
      <c r="H286" s="15"/>
      <c r="I286" s="107"/>
      <c r="J286" s="15"/>
      <c r="K286" s="108"/>
      <c r="L286" s="16"/>
    </row>
    <row r="287" spans="2:12">
      <c r="B287" s="111"/>
      <c r="C287" s="106"/>
      <c r="D287" s="15"/>
      <c r="E287" s="15"/>
      <c r="F287" s="16"/>
      <c r="G287" s="15"/>
      <c r="H287" s="15"/>
      <c r="I287" s="107"/>
      <c r="J287" s="15"/>
      <c r="K287" s="108"/>
      <c r="L287" s="16"/>
    </row>
    <row r="288" spans="2:12">
      <c r="B288" s="111"/>
      <c r="C288" s="106"/>
      <c r="D288" s="15"/>
      <c r="E288" s="15"/>
      <c r="F288" s="16"/>
      <c r="G288" s="15"/>
      <c r="H288" s="15"/>
      <c r="I288" s="107"/>
      <c r="J288" s="15"/>
      <c r="K288" s="108"/>
      <c r="L288" s="16"/>
    </row>
    <row r="289" spans="2:12">
      <c r="B289" s="111"/>
      <c r="C289" s="106"/>
      <c r="D289" s="15"/>
      <c r="E289" s="15"/>
      <c r="F289" s="16"/>
      <c r="G289" s="15"/>
      <c r="H289" s="15"/>
      <c r="I289" s="107"/>
      <c r="J289" s="15"/>
      <c r="K289" s="108"/>
      <c r="L289" s="16"/>
    </row>
    <row r="290" spans="2:12">
      <c r="B290" s="111"/>
      <c r="C290" s="106"/>
      <c r="D290" s="15"/>
      <c r="E290" s="15"/>
      <c r="F290" s="16"/>
      <c r="G290" s="15"/>
      <c r="H290" s="15"/>
      <c r="I290" s="107"/>
      <c r="J290" s="15"/>
      <c r="K290" s="108"/>
      <c r="L290" s="16"/>
    </row>
    <row r="291" spans="2:12">
      <c r="B291" s="111"/>
      <c r="C291" s="106"/>
      <c r="D291" s="15"/>
      <c r="E291" s="15"/>
      <c r="F291" s="16"/>
      <c r="G291" s="15"/>
      <c r="H291" s="15"/>
      <c r="I291" s="107"/>
      <c r="J291" s="15"/>
      <c r="K291" s="108"/>
      <c r="L291" s="16"/>
    </row>
    <row r="292" spans="2:12">
      <c r="B292" s="111"/>
      <c r="C292" s="106"/>
      <c r="D292" s="15"/>
      <c r="E292" s="15"/>
      <c r="F292" s="16"/>
      <c r="G292" s="15"/>
      <c r="H292" s="15"/>
      <c r="I292" s="107"/>
      <c r="J292" s="15"/>
      <c r="K292" s="108"/>
      <c r="L292" s="16"/>
    </row>
    <row r="293" spans="2:12">
      <c r="B293" s="111"/>
      <c r="C293" s="106"/>
      <c r="D293" s="15"/>
      <c r="E293" s="15"/>
      <c r="F293" s="16"/>
      <c r="G293" s="15"/>
      <c r="H293" s="15"/>
      <c r="I293" s="107"/>
      <c r="J293" s="15"/>
      <c r="K293" s="108"/>
      <c r="L293" s="16"/>
    </row>
    <row r="294" spans="2:12">
      <c r="B294" s="111"/>
      <c r="C294" s="106"/>
      <c r="D294" s="15"/>
      <c r="E294" s="15"/>
      <c r="F294" s="16"/>
      <c r="G294" s="15"/>
      <c r="H294" s="15"/>
      <c r="I294" s="107"/>
      <c r="J294" s="15"/>
      <c r="K294" s="108"/>
      <c r="L294" s="16"/>
    </row>
    <row r="295" spans="2:12">
      <c r="B295" s="111"/>
      <c r="C295" s="106"/>
      <c r="D295" s="15"/>
      <c r="E295" s="15"/>
      <c r="F295" s="16"/>
      <c r="G295" s="15"/>
      <c r="H295" s="15"/>
      <c r="I295" s="107"/>
      <c r="J295" s="15"/>
      <c r="K295" s="108"/>
      <c r="L295" s="16"/>
    </row>
    <row r="296" spans="2:12">
      <c r="B296" s="111"/>
      <c r="C296" s="106"/>
      <c r="D296" s="15"/>
      <c r="E296" s="15"/>
      <c r="F296" s="16"/>
      <c r="G296" s="15"/>
      <c r="H296" s="15"/>
      <c r="I296" s="107"/>
      <c r="J296" s="15"/>
      <c r="K296" s="108"/>
      <c r="L296" s="16"/>
    </row>
    <row r="297" spans="2:12">
      <c r="B297" s="111"/>
      <c r="C297" s="106"/>
      <c r="D297" s="15"/>
      <c r="E297" s="15"/>
      <c r="F297" s="16"/>
      <c r="G297" s="15"/>
      <c r="H297" s="15"/>
      <c r="I297" s="107"/>
      <c r="J297" s="15"/>
      <c r="K297" s="108"/>
      <c r="L297" s="16"/>
    </row>
    <row r="298" spans="2:12">
      <c r="B298" s="111"/>
      <c r="C298" s="106"/>
      <c r="D298" s="15"/>
      <c r="E298" s="15"/>
      <c r="F298" s="16"/>
      <c r="G298" s="15"/>
      <c r="H298" s="15"/>
      <c r="I298" s="107"/>
      <c r="J298" s="15"/>
      <c r="K298" s="108"/>
      <c r="L298" s="16"/>
    </row>
    <row r="299" spans="2:12">
      <c r="B299" s="111"/>
      <c r="C299" s="106"/>
      <c r="D299" s="15"/>
      <c r="E299" s="15"/>
      <c r="F299" s="16"/>
      <c r="G299" s="15"/>
      <c r="H299" s="15"/>
      <c r="I299" s="107"/>
      <c r="J299" s="15"/>
      <c r="K299" s="108"/>
      <c r="L299" s="16"/>
    </row>
    <row r="300" spans="2:12">
      <c r="B300" s="111"/>
      <c r="C300" s="106"/>
      <c r="D300" s="15"/>
      <c r="E300" s="15"/>
      <c r="F300" s="16"/>
      <c r="G300" s="15"/>
      <c r="H300" s="15"/>
      <c r="I300" s="107"/>
      <c r="J300" s="15"/>
      <c r="K300" s="108"/>
      <c r="L300" s="16"/>
    </row>
    <row r="301" spans="2:12">
      <c r="B301" s="111"/>
      <c r="C301" s="106"/>
      <c r="D301" s="15"/>
      <c r="E301" s="15"/>
      <c r="F301" s="16"/>
      <c r="G301" s="15"/>
      <c r="H301" s="15"/>
      <c r="I301" s="107"/>
      <c r="J301" s="15"/>
      <c r="K301" s="108"/>
      <c r="L301" s="16"/>
    </row>
    <row r="302" spans="2:12">
      <c r="B302" s="111"/>
      <c r="C302" s="106"/>
      <c r="D302" s="15"/>
      <c r="E302" s="15"/>
      <c r="F302" s="16"/>
      <c r="G302" s="15"/>
      <c r="H302" s="15"/>
      <c r="I302" s="107"/>
      <c r="J302" s="15"/>
      <c r="K302" s="108"/>
      <c r="L302" s="16"/>
    </row>
    <row r="303" spans="2:12">
      <c r="B303" s="111"/>
      <c r="C303" s="106"/>
      <c r="D303" s="15"/>
      <c r="E303" s="15"/>
      <c r="F303" s="16"/>
      <c r="G303" s="15"/>
      <c r="H303" s="15"/>
      <c r="I303" s="107"/>
      <c r="J303" s="15"/>
      <c r="K303" s="108"/>
      <c r="L303" s="16"/>
    </row>
    <row r="304" spans="2:12">
      <c r="B304" s="111"/>
      <c r="C304" s="106"/>
      <c r="D304" s="15"/>
      <c r="E304" s="15"/>
      <c r="F304" s="16"/>
      <c r="G304" s="15"/>
      <c r="H304" s="15"/>
      <c r="I304" s="107"/>
      <c r="J304" s="15"/>
      <c r="K304" s="108"/>
      <c r="L304" s="16"/>
    </row>
    <row r="305" spans="2:12">
      <c r="B305" s="111"/>
      <c r="C305" s="106"/>
      <c r="D305" s="15"/>
      <c r="E305" s="15"/>
      <c r="F305" s="16"/>
      <c r="G305" s="15"/>
      <c r="H305" s="15"/>
      <c r="I305" s="107"/>
      <c r="J305" s="15"/>
      <c r="K305" s="108"/>
      <c r="L305" s="16"/>
    </row>
    <row r="306" spans="2:12">
      <c r="B306" s="111"/>
      <c r="C306" s="106"/>
      <c r="D306" s="15"/>
      <c r="E306" s="15"/>
      <c r="F306" s="16"/>
      <c r="G306" s="15"/>
      <c r="H306" s="15"/>
      <c r="I306" s="107"/>
      <c r="J306" s="15"/>
      <c r="K306" s="108"/>
      <c r="L306" s="16"/>
    </row>
    <row r="307" spans="2:12">
      <c r="B307" s="111"/>
      <c r="C307" s="106"/>
      <c r="D307" s="15"/>
      <c r="E307" s="15"/>
      <c r="F307" s="16"/>
      <c r="G307" s="15"/>
      <c r="H307" s="15"/>
      <c r="I307" s="107"/>
      <c r="J307" s="15"/>
      <c r="K307" s="108"/>
      <c r="L307" s="16"/>
    </row>
    <row r="308" spans="2:12">
      <c r="B308" s="111"/>
      <c r="C308" s="106"/>
      <c r="D308" s="15"/>
      <c r="E308" s="15"/>
      <c r="F308" s="16"/>
      <c r="G308" s="15"/>
      <c r="H308" s="15"/>
      <c r="I308" s="107"/>
      <c r="J308" s="15"/>
      <c r="K308" s="108"/>
      <c r="L308" s="16"/>
    </row>
    <row r="309" spans="2:12">
      <c r="B309" s="111"/>
      <c r="C309" s="106"/>
      <c r="D309" s="15"/>
      <c r="E309" s="15"/>
      <c r="F309" s="16"/>
      <c r="G309" s="15"/>
      <c r="H309" s="15"/>
      <c r="I309" s="107"/>
      <c r="J309" s="15"/>
      <c r="K309" s="108"/>
      <c r="L309" s="16"/>
    </row>
    <row r="310" spans="2:12">
      <c r="B310" s="111"/>
      <c r="C310" s="106"/>
      <c r="D310" s="15"/>
      <c r="E310" s="15"/>
      <c r="F310" s="16"/>
      <c r="G310" s="15"/>
      <c r="H310" s="15"/>
      <c r="I310" s="107"/>
      <c r="J310" s="15"/>
      <c r="K310" s="108"/>
      <c r="L310" s="16"/>
    </row>
    <row r="311" spans="2:12">
      <c r="B311" s="111"/>
      <c r="C311" s="106"/>
      <c r="D311" s="15"/>
      <c r="E311" s="15"/>
      <c r="F311" s="16"/>
      <c r="G311" s="15"/>
      <c r="H311" s="15"/>
      <c r="I311" s="107"/>
      <c r="J311" s="15"/>
      <c r="K311" s="108"/>
      <c r="L311" s="16"/>
    </row>
    <row r="312" spans="2:12">
      <c r="B312" s="111"/>
      <c r="C312" s="106"/>
      <c r="D312" s="15"/>
      <c r="E312" s="15"/>
      <c r="F312" s="16"/>
      <c r="G312" s="15"/>
      <c r="H312" s="15"/>
      <c r="I312" s="107"/>
      <c r="J312" s="15"/>
      <c r="K312" s="108"/>
      <c r="L312" s="16"/>
    </row>
    <row r="313" spans="2:12">
      <c r="B313" s="111"/>
      <c r="C313" s="106"/>
      <c r="D313" s="15"/>
      <c r="E313" s="15"/>
      <c r="F313" s="16"/>
      <c r="G313" s="15"/>
      <c r="H313" s="15"/>
      <c r="I313" s="107"/>
      <c r="J313" s="15"/>
      <c r="K313" s="108"/>
      <c r="L313" s="16"/>
    </row>
    <row r="314" spans="2:12">
      <c r="B314" s="111"/>
      <c r="C314" s="106"/>
      <c r="D314" s="15"/>
      <c r="E314" s="15"/>
      <c r="F314" s="16"/>
      <c r="G314" s="15"/>
      <c r="H314" s="15"/>
      <c r="I314" s="107"/>
      <c r="J314" s="15"/>
      <c r="K314" s="108"/>
      <c r="L314" s="16"/>
    </row>
    <row r="315" spans="2:12">
      <c r="B315" s="111"/>
      <c r="C315" s="106"/>
      <c r="D315" s="15"/>
      <c r="E315" s="15"/>
      <c r="F315" s="16"/>
      <c r="G315" s="15"/>
      <c r="H315" s="15"/>
      <c r="I315" s="107"/>
      <c r="J315" s="15"/>
      <c r="K315" s="108"/>
      <c r="L315" s="16"/>
    </row>
    <row r="316" spans="2:12">
      <c r="B316" s="111"/>
      <c r="C316" s="106"/>
      <c r="D316" s="15"/>
      <c r="E316" s="15"/>
      <c r="F316" s="16"/>
      <c r="G316" s="15"/>
      <c r="H316" s="15"/>
      <c r="I316" s="107"/>
      <c r="J316" s="15"/>
      <c r="K316" s="108"/>
      <c r="L316" s="16"/>
    </row>
    <row r="317" spans="2:12">
      <c r="B317" s="111"/>
      <c r="C317" s="106"/>
      <c r="D317" s="15"/>
      <c r="E317" s="15"/>
      <c r="F317" s="16"/>
      <c r="G317" s="15"/>
      <c r="H317" s="15"/>
      <c r="I317" s="107"/>
      <c r="J317" s="15"/>
      <c r="K317" s="108"/>
      <c r="L317" s="16"/>
    </row>
    <row r="318" spans="2:12">
      <c r="B318" s="111"/>
      <c r="C318" s="106"/>
      <c r="D318" s="15"/>
      <c r="E318" s="15"/>
      <c r="F318" s="16"/>
      <c r="G318" s="15"/>
      <c r="H318" s="15"/>
      <c r="I318" s="107"/>
      <c r="J318" s="15"/>
      <c r="K318" s="108"/>
      <c r="L318" s="16"/>
    </row>
    <row r="319" spans="2:12">
      <c r="B319" s="111"/>
      <c r="C319" s="106"/>
      <c r="D319" s="15"/>
      <c r="E319" s="15"/>
      <c r="F319" s="16"/>
      <c r="G319" s="15"/>
      <c r="H319" s="15"/>
      <c r="I319" s="107"/>
      <c r="J319" s="15"/>
      <c r="K319" s="108"/>
      <c r="L319" s="16"/>
    </row>
    <row r="320" spans="2:12">
      <c r="B320" s="111"/>
      <c r="C320" s="106"/>
      <c r="D320" s="15"/>
      <c r="E320" s="15"/>
      <c r="F320" s="16"/>
      <c r="G320" s="15"/>
      <c r="H320" s="15"/>
      <c r="I320" s="107"/>
      <c r="J320" s="15"/>
      <c r="K320" s="108"/>
      <c r="L320" s="16"/>
    </row>
    <row r="321" spans="2:12">
      <c r="B321" s="111"/>
      <c r="C321" s="106"/>
      <c r="D321" s="15"/>
      <c r="E321" s="15"/>
      <c r="F321" s="16"/>
      <c r="G321" s="15"/>
      <c r="H321" s="15"/>
      <c r="I321" s="107"/>
      <c r="J321" s="15"/>
      <c r="K321" s="108"/>
      <c r="L321" s="16"/>
    </row>
    <row r="322" spans="2:12">
      <c r="B322" s="111"/>
      <c r="C322" s="106"/>
      <c r="D322" s="15"/>
      <c r="E322" s="15"/>
      <c r="F322" s="16"/>
      <c r="G322" s="15"/>
      <c r="H322" s="15"/>
      <c r="I322" s="107"/>
      <c r="J322" s="15"/>
      <c r="K322" s="108"/>
      <c r="L322" s="16"/>
    </row>
    <row r="323" spans="2:12">
      <c r="B323" s="111"/>
      <c r="C323" s="106"/>
      <c r="D323" s="15"/>
      <c r="E323" s="15"/>
      <c r="F323" s="16"/>
      <c r="G323" s="15"/>
      <c r="H323" s="15"/>
      <c r="I323" s="107"/>
      <c r="J323" s="15"/>
      <c r="K323" s="108"/>
      <c r="L323" s="16"/>
    </row>
    <row r="324" spans="2:12">
      <c r="B324" s="111"/>
      <c r="C324" s="106"/>
      <c r="D324" s="15"/>
      <c r="E324" s="15"/>
      <c r="F324" s="16"/>
      <c r="G324" s="15"/>
      <c r="H324" s="15"/>
      <c r="I324" s="107"/>
      <c r="J324" s="15"/>
      <c r="K324" s="108"/>
      <c r="L324" s="16"/>
    </row>
    <row r="325" spans="2:12">
      <c r="B325" s="111"/>
      <c r="C325" s="106"/>
      <c r="D325" s="15"/>
      <c r="E325" s="15"/>
      <c r="F325" s="16"/>
      <c r="G325" s="15"/>
      <c r="H325" s="15"/>
      <c r="I325" s="107"/>
      <c r="J325" s="15"/>
      <c r="K325" s="108"/>
      <c r="L325" s="16"/>
    </row>
    <row r="326" spans="2:12">
      <c r="B326" s="111"/>
      <c r="C326" s="106"/>
      <c r="D326" s="15"/>
      <c r="E326" s="15"/>
      <c r="F326" s="16"/>
      <c r="G326" s="15"/>
      <c r="H326" s="15"/>
      <c r="I326" s="107"/>
      <c r="J326" s="15"/>
      <c r="K326" s="108"/>
      <c r="L326" s="16"/>
    </row>
    <row r="327" spans="2:12">
      <c r="B327" s="111"/>
      <c r="C327" s="106"/>
      <c r="D327" s="15"/>
      <c r="E327" s="15"/>
      <c r="F327" s="16"/>
      <c r="G327" s="15"/>
      <c r="H327" s="15"/>
      <c r="I327" s="107"/>
      <c r="J327" s="15"/>
      <c r="K327" s="108"/>
      <c r="L327" s="16"/>
    </row>
    <row r="328" spans="2:12">
      <c r="B328" s="111"/>
      <c r="C328" s="106"/>
      <c r="D328" s="15"/>
      <c r="E328" s="15"/>
      <c r="F328" s="16"/>
      <c r="G328" s="15"/>
      <c r="H328" s="15"/>
      <c r="I328" s="107"/>
      <c r="J328" s="15"/>
      <c r="K328" s="108"/>
      <c r="L328" s="16"/>
    </row>
    <row r="329" spans="2:12">
      <c r="B329" s="111"/>
      <c r="C329" s="106"/>
      <c r="D329" s="15"/>
      <c r="E329" s="15"/>
      <c r="F329" s="16"/>
      <c r="G329" s="15"/>
      <c r="H329" s="15"/>
      <c r="I329" s="107"/>
      <c r="J329" s="15"/>
      <c r="K329" s="108"/>
      <c r="L329" s="16"/>
    </row>
    <row r="330" spans="2:12">
      <c r="B330" s="111"/>
      <c r="C330" s="106"/>
      <c r="D330" s="15"/>
      <c r="E330" s="15"/>
      <c r="F330" s="16"/>
      <c r="G330" s="15"/>
      <c r="H330" s="15"/>
      <c r="I330" s="107"/>
      <c r="J330" s="15"/>
      <c r="K330" s="108"/>
      <c r="L330" s="16"/>
    </row>
    <row r="331" spans="2:12">
      <c r="B331" s="111"/>
      <c r="C331" s="106"/>
      <c r="D331" s="15"/>
      <c r="E331" s="15"/>
      <c r="F331" s="16"/>
      <c r="G331" s="15"/>
      <c r="H331" s="15"/>
      <c r="I331" s="107"/>
      <c r="J331" s="15"/>
      <c r="K331" s="108"/>
      <c r="L331" s="16"/>
    </row>
    <row r="332" spans="2:12">
      <c r="B332" s="111"/>
      <c r="C332" s="106"/>
      <c r="D332" s="15"/>
      <c r="E332" s="15"/>
      <c r="F332" s="16"/>
      <c r="G332" s="15"/>
      <c r="H332" s="15"/>
      <c r="I332" s="107"/>
      <c r="J332" s="15"/>
      <c r="K332" s="108"/>
      <c r="L332" s="16"/>
    </row>
    <row r="333" spans="2:12">
      <c r="B333" s="111"/>
      <c r="C333" s="106"/>
      <c r="D333" s="15"/>
      <c r="E333" s="15"/>
      <c r="F333" s="16"/>
      <c r="G333" s="15"/>
      <c r="H333" s="15"/>
      <c r="I333" s="107"/>
      <c r="J333" s="15"/>
      <c r="K333" s="108"/>
      <c r="L333" s="16"/>
    </row>
    <row r="334" spans="2:12">
      <c r="B334" s="111"/>
      <c r="C334" s="106"/>
      <c r="D334" s="15"/>
      <c r="E334" s="15"/>
      <c r="F334" s="16"/>
      <c r="G334" s="15"/>
      <c r="H334" s="15"/>
      <c r="I334" s="107"/>
      <c r="J334" s="15"/>
      <c r="K334" s="108"/>
      <c r="L334" s="16"/>
    </row>
    <row r="335" spans="2:12">
      <c r="B335" s="111"/>
      <c r="C335" s="106"/>
      <c r="D335" s="15"/>
      <c r="E335" s="15"/>
      <c r="F335" s="16"/>
      <c r="G335" s="15"/>
      <c r="H335" s="15"/>
      <c r="I335" s="107"/>
      <c r="J335" s="15"/>
      <c r="K335" s="108"/>
      <c r="L335" s="16"/>
    </row>
    <row r="336" spans="2:12">
      <c r="B336" s="111"/>
      <c r="C336" s="106"/>
      <c r="D336" s="15"/>
      <c r="E336" s="15"/>
      <c r="F336" s="16"/>
      <c r="G336" s="15"/>
      <c r="H336" s="15"/>
      <c r="I336" s="107"/>
      <c r="J336" s="15"/>
      <c r="K336" s="108"/>
      <c r="L336" s="16"/>
    </row>
    <row r="337" spans="2:12">
      <c r="B337" s="111"/>
      <c r="C337" s="106"/>
      <c r="D337" s="15"/>
      <c r="E337" s="15"/>
      <c r="F337" s="16"/>
      <c r="G337" s="15"/>
      <c r="H337" s="15"/>
      <c r="I337" s="107"/>
      <c r="J337" s="15"/>
      <c r="K337" s="108"/>
      <c r="L337" s="16"/>
    </row>
    <row r="338" spans="2:12">
      <c r="B338" s="111"/>
      <c r="C338" s="106"/>
      <c r="D338" s="15"/>
      <c r="E338" s="15"/>
      <c r="F338" s="16"/>
      <c r="G338" s="15"/>
      <c r="H338" s="15"/>
      <c r="I338" s="107"/>
      <c r="J338" s="15"/>
      <c r="K338" s="108"/>
      <c r="L338" s="16"/>
    </row>
    <row r="339" spans="2:12">
      <c r="B339" s="111"/>
      <c r="C339" s="106"/>
      <c r="D339" s="15"/>
      <c r="E339" s="15"/>
      <c r="F339" s="16"/>
      <c r="G339" s="15"/>
      <c r="H339" s="15"/>
      <c r="I339" s="107"/>
      <c r="J339" s="15"/>
      <c r="K339" s="108"/>
      <c r="L339" s="16"/>
    </row>
    <row r="340" spans="2:12">
      <c r="B340" s="111"/>
      <c r="C340" s="106"/>
      <c r="D340" s="15"/>
      <c r="E340" s="15"/>
      <c r="F340" s="16"/>
      <c r="G340" s="15"/>
      <c r="H340" s="15"/>
      <c r="I340" s="107"/>
      <c r="J340" s="15"/>
      <c r="K340" s="108"/>
      <c r="L340" s="16"/>
    </row>
    <row r="341" spans="2:12">
      <c r="B341" s="111"/>
      <c r="C341" s="106"/>
      <c r="D341" s="15"/>
      <c r="E341" s="15"/>
      <c r="F341" s="16"/>
      <c r="G341" s="15"/>
      <c r="H341" s="15"/>
      <c r="I341" s="107"/>
      <c r="J341" s="15"/>
      <c r="K341" s="108"/>
      <c r="L341" s="16"/>
    </row>
    <row r="342" spans="2:12">
      <c r="B342" s="111"/>
      <c r="C342" s="106"/>
      <c r="D342" s="15"/>
      <c r="E342" s="15"/>
      <c r="F342" s="16"/>
      <c r="G342" s="15"/>
      <c r="H342" s="15"/>
      <c r="I342" s="107"/>
      <c r="J342" s="15"/>
      <c r="K342" s="108"/>
      <c r="L342" s="16"/>
    </row>
    <row r="343" spans="2:12">
      <c r="B343" s="111"/>
      <c r="C343" s="106"/>
      <c r="D343" s="15"/>
      <c r="E343" s="15"/>
      <c r="F343" s="16"/>
      <c r="G343" s="15"/>
      <c r="H343" s="15"/>
      <c r="I343" s="107"/>
      <c r="J343" s="15"/>
      <c r="K343" s="108"/>
      <c r="L343" s="16"/>
    </row>
    <row r="344" spans="2:12">
      <c r="B344" s="111"/>
      <c r="C344" s="106"/>
      <c r="D344" s="15"/>
      <c r="E344" s="15"/>
      <c r="F344" s="16"/>
      <c r="G344" s="15"/>
      <c r="H344" s="15"/>
      <c r="I344" s="107"/>
      <c r="J344" s="15"/>
      <c r="K344" s="108"/>
      <c r="L344" s="16"/>
    </row>
    <row r="345" spans="2:12">
      <c r="B345" s="111"/>
      <c r="C345" s="106"/>
      <c r="D345" s="15"/>
      <c r="E345" s="15"/>
      <c r="F345" s="16"/>
      <c r="G345" s="15"/>
      <c r="H345" s="15"/>
      <c r="I345" s="107"/>
      <c r="J345" s="15"/>
      <c r="K345" s="108"/>
      <c r="L345" s="16"/>
    </row>
    <row r="346" spans="2:12">
      <c r="B346" s="111"/>
      <c r="C346" s="106"/>
      <c r="D346" s="15"/>
      <c r="E346" s="15"/>
      <c r="F346" s="16"/>
      <c r="G346" s="15"/>
      <c r="H346" s="15"/>
      <c r="I346" s="107"/>
      <c r="J346" s="15"/>
      <c r="K346" s="108"/>
      <c r="L346" s="16"/>
    </row>
    <row r="347" spans="2:12">
      <c r="B347" s="111"/>
      <c r="C347" s="106"/>
      <c r="D347" s="15"/>
      <c r="E347" s="15"/>
      <c r="F347" s="16"/>
      <c r="G347" s="15"/>
      <c r="H347" s="15"/>
      <c r="I347" s="107"/>
      <c r="J347" s="15"/>
      <c r="K347" s="108"/>
      <c r="L347" s="16"/>
    </row>
    <row r="348" spans="2:12">
      <c r="B348" s="111"/>
      <c r="C348" s="106"/>
      <c r="D348" s="15"/>
      <c r="E348" s="15"/>
      <c r="F348" s="16"/>
      <c r="G348" s="15"/>
      <c r="H348" s="15"/>
      <c r="I348" s="107"/>
      <c r="J348" s="15"/>
      <c r="K348" s="108"/>
      <c r="L348" s="16"/>
    </row>
    <row r="349" spans="2:12">
      <c r="B349" s="111"/>
      <c r="C349" s="106"/>
      <c r="D349" s="15"/>
      <c r="E349" s="15"/>
      <c r="F349" s="16"/>
      <c r="G349" s="15"/>
      <c r="H349" s="15"/>
      <c r="I349" s="107"/>
      <c r="J349" s="15"/>
      <c r="K349" s="108"/>
      <c r="L349" s="16"/>
    </row>
    <row r="350" spans="2:12">
      <c r="B350" s="111"/>
      <c r="C350" s="106"/>
      <c r="D350" s="15"/>
      <c r="E350" s="15"/>
      <c r="F350" s="16"/>
      <c r="G350" s="15"/>
      <c r="H350" s="15"/>
      <c r="I350" s="107"/>
      <c r="J350" s="15"/>
      <c r="K350" s="108"/>
      <c r="L350" s="16"/>
    </row>
    <row r="351" spans="2:12">
      <c r="B351" s="111"/>
      <c r="C351" s="106"/>
      <c r="D351" s="15"/>
      <c r="E351" s="15"/>
      <c r="F351" s="16"/>
      <c r="G351" s="15"/>
      <c r="H351" s="15"/>
      <c r="I351" s="107"/>
      <c r="J351" s="15"/>
      <c r="K351" s="108"/>
      <c r="L351" s="16"/>
    </row>
    <row r="352" spans="2:12">
      <c r="B352" s="111"/>
      <c r="C352" s="106"/>
      <c r="D352" s="15"/>
      <c r="E352" s="15"/>
      <c r="F352" s="16"/>
      <c r="G352" s="15"/>
      <c r="H352" s="15"/>
      <c r="I352" s="107"/>
      <c r="J352" s="15"/>
      <c r="K352" s="108"/>
      <c r="L352" s="16"/>
    </row>
    <row r="353" spans="2:12">
      <c r="B353" s="111"/>
      <c r="C353" s="106"/>
      <c r="D353" s="15"/>
      <c r="E353" s="15"/>
      <c r="F353" s="16"/>
      <c r="G353" s="15"/>
      <c r="H353" s="15"/>
      <c r="I353" s="107"/>
      <c r="J353" s="15"/>
      <c r="K353" s="108"/>
      <c r="L353" s="16"/>
    </row>
    <row r="354" spans="2:12">
      <c r="B354" s="111"/>
      <c r="C354" s="106"/>
      <c r="D354" s="15"/>
      <c r="E354" s="15"/>
      <c r="F354" s="16"/>
      <c r="G354" s="15"/>
      <c r="H354" s="15"/>
      <c r="I354" s="107"/>
      <c r="J354" s="15"/>
      <c r="K354" s="108"/>
      <c r="L354" s="16"/>
    </row>
    <row r="355" spans="2:12">
      <c r="B355" s="111"/>
      <c r="C355" s="106"/>
      <c r="D355" s="15"/>
      <c r="E355" s="15"/>
      <c r="F355" s="16"/>
      <c r="G355" s="15"/>
      <c r="H355" s="15"/>
      <c r="I355" s="107"/>
      <c r="J355" s="15"/>
      <c r="K355" s="108"/>
      <c r="L355" s="16"/>
    </row>
    <row r="356" spans="2:12">
      <c r="B356" s="111"/>
      <c r="C356" s="106"/>
      <c r="D356" s="15"/>
      <c r="E356" s="15"/>
      <c r="F356" s="16"/>
      <c r="G356" s="15"/>
      <c r="H356" s="15"/>
      <c r="I356" s="107"/>
      <c r="J356" s="15"/>
      <c r="K356" s="108"/>
      <c r="L356" s="16"/>
    </row>
    <row r="357" spans="2:12">
      <c r="B357" s="111"/>
      <c r="C357" s="106"/>
      <c r="D357" s="15"/>
      <c r="E357" s="15"/>
      <c r="F357" s="16"/>
      <c r="G357" s="15"/>
      <c r="H357" s="15"/>
      <c r="I357" s="107"/>
      <c r="J357" s="15"/>
      <c r="K357" s="108"/>
      <c r="L357" s="16"/>
    </row>
    <row r="358" spans="2:12">
      <c r="B358" s="111"/>
      <c r="C358" s="106"/>
      <c r="D358" s="15"/>
      <c r="E358" s="15"/>
      <c r="F358" s="16"/>
      <c r="G358" s="15"/>
      <c r="H358" s="15"/>
      <c r="I358" s="107"/>
      <c r="J358" s="15"/>
      <c r="K358" s="108"/>
      <c r="L358" s="16"/>
    </row>
    <row r="359" spans="2:12">
      <c r="B359" s="111"/>
      <c r="C359" s="106"/>
      <c r="D359" s="15"/>
      <c r="E359" s="15"/>
      <c r="F359" s="16"/>
      <c r="G359" s="15"/>
      <c r="H359" s="15"/>
      <c r="I359" s="107"/>
      <c r="J359" s="15"/>
      <c r="K359" s="108"/>
      <c r="L359" s="16"/>
    </row>
    <row r="360" spans="2:12">
      <c r="B360" s="111"/>
      <c r="C360" s="106"/>
      <c r="D360" s="15"/>
      <c r="E360" s="15"/>
      <c r="F360" s="16"/>
      <c r="G360" s="15"/>
      <c r="H360" s="15"/>
      <c r="I360" s="107"/>
      <c r="J360" s="15"/>
      <c r="K360" s="108"/>
      <c r="L360" s="16"/>
    </row>
    <row r="361" spans="2:12">
      <c r="B361" s="111"/>
      <c r="C361" s="106"/>
      <c r="D361" s="15"/>
      <c r="E361" s="15"/>
      <c r="F361" s="16"/>
      <c r="G361" s="15"/>
      <c r="H361" s="15"/>
      <c r="I361" s="107"/>
      <c r="J361" s="15"/>
      <c r="K361" s="108"/>
      <c r="L361" s="16"/>
    </row>
    <row r="362" spans="2:12">
      <c r="B362" s="111"/>
      <c r="C362" s="106"/>
      <c r="D362" s="15"/>
      <c r="E362" s="15"/>
      <c r="F362" s="16"/>
      <c r="G362" s="15"/>
      <c r="H362" s="15"/>
      <c r="I362" s="107"/>
      <c r="J362" s="15"/>
      <c r="K362" s="108"/>
      <c r="L362" s="16"/>
    </row>
    <row r="363" spans="2:12">
      <c r="B363" s="111"/>
      <c r="C363" s="106"/>
      <c r="D363" s="15"/>
      <c r="E363" s="15"/>
      <c r="F363" s="16"/>
      <c r="G363" s="15"/>
      <c r="H363" s="15"/>
      <c r="I363" s="107"/>
      <c r="J363" s="15"/>
      <c r="K363" s="108"/>
      <c r="L363" s="16"/>
    </row>
    <row r="364" spans="2:12">
      <c r="B364" s="111"/>
      <c r="C364" s="106"/>
      <c r="D364" s="15"/>
      <c r="E364" s="15"/>
      <c r="F364" s="16"/>
      <c r="G364" s="15"/>
      <c r="H364" s="15"/>
      <c r="I364" s="107"/>
      <c r="J364" s="15"/>
      <c r="K364" s="108"/>
      <c r="L364" s="16"/>
    </row>
    <row r="365" spans="2:12">
      <c r="B365" s="111"/>
      <c r="C365" s="106"/>
      <c r="D365" s="15"/>
      <c r="E365" s="15"/>
      <c r="F365" s="16"/>
      <c r="G365" s="15"/>
      <c r="H365" s="15"/>
      <c r="I365" s="107"/>
      <c r="J365" s="15"/>
      <c r="K365" s="108"/>
      <c r="L365" s="16"/>
    </row>
    <row r="366" spans="2:12">
      <c r="B366" s="111"/>
      <c r="C366" s="106"/>
      <c r="D366" s="15"/>
      <c r="E366" s="15"/>
      <c r="F366" s="16"/>
      <c r="G366" s="15"/>
      <c r="H366" s="15"/>
      <c r="I366" s="107"/>
      <c r="J366" s="15"/>
      <c r="K366" s="108"/>
      <c r="L366" s="16"/>
    </row>
    <row r="367" spans="2:12">
      <c r="B367" s="111"/>
      <c r="C367" s="106"/>
      <c r="D367" s="15"/>
      <c r="E367" s="15"/>
      <c r="F367" s="16"/>
      <c r="G367" s="15"/>
      <c r="H367" s="15"/>
      <c r="I367" s="107"/>
      <c r="J367" s="15"/>
      <c r="K367" s="108"/>
      <c r="L367" s="16"/>
    </row>
    <row r="368" spans="2:12">
      <c r="B368" s="111"/>
      <c r="C368" s="106"/>
      <c r="D368" s="15"/>
      <c r="E368" s="15"/>
      <c r="F368" s="16"/>
      <c r="G368" s="15"/>
      <c r="H368" s="15"/>
      <c r="I368" s="107"/>
      <c r="J368" s="15"/>
      <c r="K368" s="108"/>
      <c r="L368" s="16"/>
    </row>
    <row r="369" spans="2:12">
      <c r="B369" s="111"/>
      <c r="C369" s="106"/>
      <c r="D369" s="15"/>
      <c r="E369" s="15"/>
      <c r="F369" s="16"/>
      <c r="G369" s="15"/>
      <c r="H369" s="15"/>
      <c r="I369" s="107"/>
      <c r="J369" s="15"/>
      <c r="K369" s="108"/>
      <c r="L369" s="16"/>
    </row>
    <row r="370" spans="2:12">
      <c r="B370" s="111"/>
      <c r="C370" s="106"/>
      <c r="D370" s="15"/>
      <c r="E370" s="15"/>
      <c r="F370" s="16"/>
      <c r="G370" s="15"/>
      <c r="H370" s="15"/>
      <c r="I370" s="107"/>
      <c r="J370" s="15"/>
      <c r="K370" s="108"/>
      <c r="L370" s="16"/>
    </row>
    <row r="371" spans="2:12">
      <c r="B371" s="111"/>
      <c r="C371" s="106"/>
      <c r="D371" s="15"/>
      <c r="E371" s="15"/>
      <c r="F371" s="16"/>
      <c r="G371" s="15"/>
      <c r="H371" s="15"/>
      <c r="I371" s="107"/>
      <c r="J371" s="15"/>
      <c r="K371" s="108"/>
      <c r="L371" s="16"/>
    </row>
    <row r="372" spans="2:12">
      <c r="B372" s="111"/>
      <c r="C372" s="106"/>
      <c r="D372" s="15"/>
      <c r="E372" s="15"/>
      <c r="F372" s="16"/>
      <c r="G372" s="15"/>
      <c r="H372" s="15"/>
      <c r="I372" s="107"/>
      <c r="J372" s="15"/>
      <c r="K372" s="108"/>
      <c r="L372" s="16"/>
    </row>
    <row r="373" spans="2:12">
      <c r="B373" s="111"/>
      <c r="C373" s="106"/>
      <c r="D373" s="15"/>
      <c r="E373" s="15"/>
      <c r="F373" s="16"/>
      <c r="G373" s="15"/>
      <c r="H373" s="15"/>
      <c r="I373" s="107"/>
      <c r="J373" s="15"/>
      <c r="K373" s="108"/>
      <c r="L373" s="16"/>
    </row>
    <row r="374" spans="2:12">
      <c r="B374" s="111"/>
      <c r="C374" s="106"/>
      <c r="D374" s="15"/>
      <c r="E374" s="15"/>
      <c r="F374" s="16"/>
      <c r="G374" s="15"/>
      <c r="H374" s="15"/>
      <c r="I374" s="107"/>
      <c r="J374" s="15"/>
      <c r="K374" s="108"/>
      <c r="L374" s="16"/>
    </row>
    <row r="375" spans="2:12">
      <c r="B375" s="111"/>
      <c r="C375" s="106"/>
      <c r="D375" s="15"/>
      <c r="E375" s="15"/>
      <c r="F375" s="16"/>
      <c r="G375" s="15"/>
      <c r="H375" s="15"/>
      <c r="I375" s="107"/>
      <c r="J375" s="15"/>
      <c r="K375" s="108"/>
      <c r="L375" s="16"/>
    </row>
    <row r="376" spans="2:12">
      <c r="B376" s="111"/>
      <c r="C376" s="106"/>
      <c r="D376" s="15"/>
      <c r="E376" s="15"/>
      <c r="F376" s="16"/>
      <c r="G376" s="15"/>
      <c r="H376" s="15"/>
      <c r="I376" s="107"/>
      <c r="J376" s="15"/>
      <c r="K376" s="108"/>
      <c r="L376" s="16"/>
    </row>
    <row r="377" spans="2:12">
      <c r="B377" s="111"/>
      <c r="C377" s="106"/>
      <c r="D377" s="15"/>
      <c r="E377" s="15"/>
      <c r="F377" s="16"/>
      <c r="G377" s="15"/>
      <c r="H377" s="15"/>
      <c r="I377" s="107"/>
      <c r="J377" s="15"/>
      <c r="K377" s="108"/>
      <c r="L377" s="16"/>
    </row>
    <row r="378" spans="2:12">
      <c r="B378" s="111"/>
      <c r="C378" s="106"/>
      <c r="D378" s="15"/>
      <c r="E378" s="15"/>
      <c r="F378" s="16"/>
      <c r="G378" s="15"/>
      <c r="H378" s="15"/>
      <c r="I378" s="107"/>
      <c r="J378" s="15"/>
      <c r="K378" s="108"/>
      <c r="L378" s="16"/>
    </row>
    <row r="379" spans="2:12">
      <c r="B379" s="111"/>
      <c r="C379" s="106"/>
      <c r="D379" s="15"/>
      <c r="E379" s="15"/>
      <c r="F379" s="16"/>
      <c r="G379" s="15"/>
      <c r="H379" s="15"/>
      <c r="I379" s="107"/>
      <c r="J379" s="15"/>
      <c r="K379" s="108"/>
      <c r="L379" s="16"/>
    </row>
    <row r="380" spans="2:12">
      <c r="B380" s="111"/>
      <c r="C380" s="106"/>
      <c r="D380" s="15"/>
      <c r="E380" s="15"/>
      <c r="F380" s="16"/>
      <c r="G380" s="15"/>
      <c r="H380" s="15"/>
      <c r="I380" s="107"/>
      <c r="J380" s="15"/>
      <c r="K380" s="108"/>
      <c r="L380" s="16"/>
    </row>
    <row r="381" spans="2:12">
      <c r="B381" s="111"/>
      <c r="C381" s="106"/>
      <c r="D381" s="15"/>
      <c r="E381" s="15"/>
      <c r="F381" s="16"/>
      <c r="G381" s="15"/>
      <c r="H381" s="15"/>
      <c r="I381" s="107"/>
      <c r="J381" s="15"/>
      <c r="K381" s="108"/>
      <c r="L381" s="16"/>
    </row>
    <row r="382" spans="2:12">
      <c r="B382" s="111"/>
      <c r="C382" s="106"/>
      <c r="D382" s="15"/>
      <c r="E382" s="15"/>
      <c r="F382" s="16"/>
      <c r="G382" s="15"/>
      <c r="H382" s="15"/>
      <c r="I382" s="107"/>
      <c r="J382" s="15"/>
      <c r="K382" s="108"/>
      <c r="L382" s="16"/>
    </row>
    <row r="383" spans="2:12">
      <c r="B383" s="111"/>
      <c r="C383" s="106"/>
      <c r="D383" s="15"/>
      <c r="E383" s="15"/>
      <c r="F383" s="16"/>
      <c r="G383" s="15"/>
      <c r="H383" s="15"/>
      <c r="I383" s="107"/>
      <c r="J383" s="15"/>
      <c r="K383" s="108"/>
      <c r="L383" s="16"/>
    </row>
    <row r="384" spans="2:12">
      <c r="B384" s="111"/>
      <c r="C384" s="106"/>
      <c r="D384" s="15"/>
      <c r="E384" s="15"/>
      <c r="F384" s="16"/>
      <c r="G384" s="15"/>
      <c r="H384" s="15"/>
      <c r="I384" s="107"/>
      <c r="J384" s="15"/>
      <c r="K384" s="108"/>
      <c r="L384" s="16"/>
    </row>
    <row r="385" spans="2:12">
      <c r="B385" s="111"/>
      <c r="C385" s="106"/>
      <c r="D385" s="15"/>
      <c r="E385" s="15"/>
      <c r="F385" s="16"/>
      <c r="G385" s="15"/>
      <c r="H385" s="15"/>
      <c r="I385" s="107"/>
      <c r="J385" s="15"/>
      <c r="K385" s="108"/>
      <c r="L385" s="16"/>
    </row>
    <row r="386" spans="2:12">
      <c r="B386" s="111"/>
      <c r="C386" s="106"/>
      <c r="D386" s="15"/>
      <c r="E386" s="15"/>
      <c r="F386" s="16"/>
      <c r="G386" s="15"/>
      <c r="H386" s="15"/>
      <c r="I386" s="107"/>
      <c r="J386" s="15"/>
      <c r="K386" s="108"/>
      <c r="L386" s="16"/>
    </row>
    <row r="387" spans="2:12">
      <c r="B387" s="111"/>
      <c r="C387" s="106"/>
      <c r="D387" s="15"/>
      <c r="E387" s="15"/>
      <c r="F387" s="16"/>
      <c r="G387" s="15"/>
      <c r="H387" s="15"/>
      <c r="I387" s="107"/>
      <c r="J387" s="15"/>
      <c r="K387" s="108"/>
      <c r="L387" s="16"/>
    </row>
    <row r="388" spans="2:12">
      <c r="B388" s="111"/>
      <c r="C388" s="106"/>
      <c r="D388" s="15"/>
      <c r="E388" s="15"/>
      <c r="F388" s="16"/>
      <c r="G388" s="15"/>
      <c r="H388" s="15"/>
      <c r="I388" s="107"/>
      <c r="J388" s="15"/>
      <c r="K388" s="108"/>
      <c r="L388" s="16"/>
    </row>
    <row r="389" spans="2:12">
      <c r="B389" s="111"/>
      <c r="C389" s="106"/>
      <c r="D389" s="15"/>
      <c r="E389" s="15"/>
      <c r="F389" s="16"/>
      <c r="G389" s="15"/>
      <c r="H389" s="15"/>
      <c r="I389" s="107"/>
      <c r="J389" s="15"/>
      <c r="K389" s="108"/>
      <c r="L389" s="16"/>
    </row>
    <row r="390" spans="2:12">
      <c r="B390" s="111"/>
      <c r="C390" s="106"/>
      <c r="D390" s="15"/>
      <c r="E390" s="15"/>
      <c r="F390" s="16"/>
      <c r="G390" s="15"/>
      <c r="H390" s="15"/>
      <c r="I390" s="107"/>
      <c r="J390" s="15"/>
      <c r="K390" s="108"/>
      <c r="L390" s="16"/>
    </row>
    <row r="391" spans="2:12">
      <c r="B391" s="111"/>
      <c r="C391" s="106"/>
      <c r="D391" s="15"/>
      <c r="E391" s="15"/>
      <c r="F391" s="16"/>
      <c r="G391" s="15"/>
      <c r="H391" s="15"/>
      <c r="I391" s="107"/>
      <c r="J391" s="15"/>
      <c r="K391" s="108"/>
      <c r="L391" s="16"/>
    </row>
    <row r="392" spans="2:12">
      <c r="B392" s="111"/>
      <c r="C392" s="106"/>
      <c r="D392" s="15"/>
      <c r="E392" s="15"/>
      <c r="F392" s="16"/>
      <c r="G392" s="15"/>
      <c r="H392" s="15"/>
      <c r="I392" s="107"/>
      <c r="J392" s="15"/>
      <c r="K392" s="108"/>
      <c r="L392" s="16"/>
    </row>
    <row r="393" spans="2:12">
      <c r="B393" s="111"/>
      <c r="C393" s="106"/>
      <c r="D393" s="15"/>
      <c r="E393" s="15"/>
      <c r="F393" s="16"/>
      <c r="G393" s="15"/>
      <c r="H393" s="15"/>
      <c r="I393" s="107"/>
      <c r="J393" s="15"/>
      <c r="K393" s="108"/>
      <c r="L393" s="16"/>
    </row>
    <row r="394" spans="2:12">
      <c r="B394" s="111"/>
      <c r="C394" s="106"/>
      <c r="D394" s="15"/>
      <c r="E394" s="15"/>
      <c r="F394" s="16"/>
      <c r="G394" s="15"/>
      <c r="H394" s="15"/>
      <c r="I394" s="107"/>
      <c r="J394" s="15"/>
      <c r="K394" s="108"/>
      <c r="L394" s="16"/>
    </row>
    <row r="395" spans="2:12">
      <c r="B395" s="111"/>
      <c r="C395" s="106"/>
      <c r="D395" s="15"/>
      <c r="E395" s="15"/>
      <c r="F395" s="16"/>
      <c r="G395" s="15"/>
      <c r="H395" s="15"/>
      <c r="I395" s="107"/>
      <c r="J395" s="15"/>
      <c r="K395" s="108"/>
      <c r="L395" s="16"/>
    </row>
    <row r="396" spans="2:12">
      <c r="B396" s="111"/>
      <c r="C396" s="106"/>
      <c r="D396" s="15"/>
      <c r="E396" s="15"/>
      <c r="F396" s="16"/>
      <c r="G396" s="15"/>
      <c r="H396" s="15"/>
      <c r="I396" s="107"/>
      <c r="J396" s="15"/>
      <c r="K396" s="108"/>
      <c r="L396" s="16"/>
    </row>
    <row r="397" spans="2:12">
      <c r="B397" s="111"/>
      <c r="C397" s="106"/>
      <c r="D397" s="15"/>
      <c r="E397" s="15"/>
      <c r="F397" s="16"/>
      <c r="G397" s="15"/>
      <c r="H397" s="15"/>
      <c r="I397" s="107"/>
      <c r="J397" s="15"/>
      <c r="K397" s="108"/>
      <c r="L397" s="16"/>
    </row>
    <row r="398" spans="2:12">
      <c r="B398" s="111"/>
      <c r="C398" s="106"/>
      <c r="D398" s="15"/>
      <c r="E398" s="15"/>
      <c r="F398" s="16"/>
      <c r="G398" s="15"/>
      <c r="H398" s="15"/>
      <c r="I398" s="107"/>
      <c r="J398" s="15"/>
      <c r="K398" s="108"/>
      <c r="L398" s="16"/>
    </row>
    <row r="399" spans="2:12">
      <c r="B399" s="111"/>
      <c r="C399" s="106"/>
      <c r="D399" s="15"/>
      <c r="E399" s="15"/>
      <c r="F399" s="16"/>
      <c r="G399" s="15"/>
      <c r="H399" s="15"/>
      <c r="I399" s="107"/>
      <c r="J399" s="15"/>
      <c r="K399" s="108"/>
      <c r="L399" s="16"/>
    </row>
    <row r="400" spans="2:12">
      <c r="B400" s="111"/>
      <c r="C400" s="106"/>
      <c r="D400" s="15"/>
      <c r="E400" s="15"/>
      <c r="F400" s="16"/>
      <c r="G400" s="15"/>
      <c r="H400" s="15"/>
      <c r="I400" s="107"/>
      <c r="J400" s="15"/>
      <c r="K400" s="108"/>
      <c r="L400" s="16"/>
    </row>
    <row r="401" spans="2:12">
      <c r="B401" s="111"/>
      <c r="C401" s="106"/>
      <c r="D401" s="15"/>
      <c r="E401" s="15"/>
      <c r="F401" s="16"/>
      <c r="G401" s="15"/>
      <c r="H401" s="15"/>
      <c r="I401" s="107"/>
      <c r="J401" s="15"/>
      <c r="K401" s="108"/>
      <c r="L401" s="16"/>
    </row>
    <row r="402" spans="2:12">
      <c r="B402" s="111"/>
      <c r="C402" s="106"/>
      <c r="D402" s="15"/>
      <c r="E402" s="15"/>
      <c r="F402" s="16"/>
      <c r="G402" s="15"/>
      <c r="H402" s="15"/>
      <c r="I402" s="107"/>
      <c r="J402" s="15"/>
      <c r="K402" s="108"/>
      <c r="L402" s="16"/>
    </row>
    <row r="403" spans="2:12">
      <c r="B403" s="111"/>
      <c r="C403" s="106"/>
      <c r="D403" s="15"/>
      <c r="E403" s="15"/>
      <c r="F403" s="16"/>
      <c r="G403" s="15"/>
      <c r="H403" s="15"/>
      <c r="I403" s="107"/>
      <c r="J403" s="15"/>
      <c r="K403" s="108"/>
      <c r="L403" s="16"/>
    </row>
    <row r="404" spans="2:12">
      <c r="B404" s="111"/>
      <c r="C404" s="106"/>
      <c r="D404" s="15"/>
      <c r="E404" s="15"/>
      <c r="F404" s="16"/>
      <c r="G404" s="15"/>
      <c r="H404" s="15"/>
      <c r="I404" s="107"/>
      <c r="J404" s="15"/>
      <c r="K404" s="108"/>
      <c r="L404" s="16"/>
    </row>
    <row r="405" spans="2:12">
      <c r="B405" s="111"/>
      <c r="C405" s="106"/>
      <c r="D405" s="15"/>
      <c r="E405" s="15"/>
      <c r="F405" s="16"/>
      <c r="G405" s="15"/>
      <c r="H405" s="15"/>
      <c r="I405" s="107"/>
      <c r="J405" s="15"/>
      <c r="K405" s="108"/>
      <c r="L405" s="16"/>
    </row>
    <row r="406" spans="2:12">
      <c r="B406" s="111"/>
      <c r="C406" s="106"/>
      <c r="D406" s="15"/>
      <c r="E406" s="15"/>
      <c r="F406" s="16"/>
      <c r="G406" s="15"/>
      <c r="H406" s="15"/>
      <c r="I406" s="107"/>
      <c r="J406" s="15"/>
      <c r="K406" s="108"/>
      <c r="L406" s="16"/>
    </row>
    <row r="407" spans="2:12">
      <c r="B407" s="111"/>
      <c r="C407" s="106"/>
      <c r="D407" s="15"/>
      <c r="E407" s="15"/>
      <c r="F407" s="16"/>
      <c r="G407" s="15"/>
      <c r="H407" s="15"/>
      <c r="I407" s="107"/>
      <c r="J407" s="15"/>
      <c r="K407" s="108"/>
      <c r="L407" s="16"/>
    </row>
    <row r="408" spans="2:12">
      <c r="B408" s="111"/>
      <c r="C408" s="106"/>
      <c r="D408" s="15"/>
      <c r="E408" s="15"/>
      <c r="F408" s="16"/>
      <c r="G408" s="15"/>
      <c r="H408" s="15"/>
      <c r="I408" s="107"/>
      <c r="J408" s="15"/>
      <c r="K408" s="108"/>
      <c r="L408" s="16"/>
    </row>
    <row r="409" spans="2:12">
      <c r="B409" s="111"/>
      <c r="C409" s="106"/>
      <c r="D409" s="15"/>
      <c r="E409" s="15"/>
      <c r="F409" s="16"/>
      <c r="G409" s="15"/>
      <c r="H409" s="15"/>
      <c r="I409" s="107"/>
      <c r="J409" s="15"/>
      <c r="K409" s="108"/>
      <c r="L409" s="16"/>
    </row>
    <row r="410" spans="2:12">
      <c r="B410" s="111"/>
      <c r="C410" s="106"/>
      <c r="D410" s="15"/>
      <c r="E410" s="15"/>
      <c r="F410" s="16"/>
      <c r="G410" s="15"/>
      <c r="H410" s="15"/>
      <c r="I410" s="107"/>
      <c r="J410" s="15"/>
      <c r="K410" s="108"/>
      <c r="L410" s="16"/>
    </row>
    <row r="411" spans="2:12">
      <c r="B411" s="111"/>
      <c r="C411" s="106"/>
      <c r="D411" s="15"/>
      <c r="E411" s="15"/>
      <c r="F411" s="16"/>
      <c r="G411" s="15"/>
      <c r="H411" s="15"/>
      <c r="I411" s="107"/>
      <c r="J411" s="15"/>
      <c r="K411" s="108"/>
      <c r="L411" s="16"/>
    </row>
    <row r="412" spans="2:12">
      <c r="B412" s="111"/>
      <c r="C412" s="106"/>
      <c r="D412" s="15"/>
      <c r="E412" s="15"/>
      <c r="F412" s="16"/>
      <c r="G412" s="15"/>
      <c r="H412" s="15"/>
      <c r="I412" s="107"/>
      <c r="J412" s="15"/>
      <c r="K412" s="108"/>
      <c r="L412" s="16"/>
    </row>
    <row r="413" spans="2:12">
      <c r="B413" s="111"/>
      <c r="C413" s="106"/>
      <c r="D413" s="15"/>
      <c r="E413" s="15"/>
      <c r="F413" s="16"/>
      <c r="G413" s="15"/>
      <c r="H413" s="15"/>
      <c r="I413" s="107"/>
      <c r="J413" s="15"/>
      <c r="K413" s="108"/>
      <c r="L413" s="16"/>
    </row>
    <row r="414" spans="2:12">
      <c r="B414" s="111"/>
      <c r="C414" s="106"/>
      <c r="D414" s="15"/>
      <c r="E414" s="15"/>
      <c r="F414" s="16"/>
      <c r="G414" s="15"/>
      <c r="H414" s="15"/>
      <c r="I414" s="107"/>
      <c r="J414" s="15"/>
      <c r="K414" s="108"/>
      <c r="L414" s="16"/>
    </row>
    <row r="415" spans="2:12">
      <c r="B415" s="111"/>
      <c r="C415" s="106"/>
      <c r="D415" s="15"/>
      <c r="E415" s="15"/>
      <c r="F415" s="16"/>
      <c r="G415" s="15"/>
      <c r="H415" s="15"/>
      <c r="I415" s="107"/>
      <c r="J415" s="15"/>
      <c r="K415" s="108"/>
      <c r="L415" s="16"/>
    </row>
    <row r="416" spans="2:12">
      <c r="B416" s="111"/>
      <c r="C416" s="106"/>
      <c r="D416" s="15"/>
      <c r="E416" s="15"/>
      <c r="F416" s="16"/>
      <c r="G416" s="15"/>
      <c r="H416" s="15"/>
      <c r="I416" s="107"/>
      <c r="J416" s="15"/>
      <c r="K416" s="108"/>
      <c r="L416" s="16"/>
    </row>
    <row r="417" spans="2:12">
      <c r="B417" s="111"/>
      <c r="C417" s="106"/>
      <c r="D417" s="15"/>
      <c r="E417" s="15"/>
      <c r="F417" s="16"/>
      <c r="G417" s="15"/>
      <c r="H417" s="15"/>
      <c r="I417" s="107"/>
      <c r="J417" s="15"/>
      <c r="K417" s="108"/>
      <c r="L417" s="16"/>
    </row>
    <row r="418" spans="2:12">
      <c r="B418" s="111"/>
      <c r="C418" s="106"/>
      <c r="D418" s="15"/>
      <c r="E418" s="15"/>
      <c r="F418" s="16"/>
      <c r="G418" s="15"/>
      <c r="H418" s="15"/>
      <c r="I418" s="107"/>
      <c r="J418" s="15"/>
      <c r="K418" s="108"/>
      <c r="L418" s="16"/>
    </row>
    <row r="419" spans="2:12">
      <c r="B419" s="111"/>
      <c r="C419" s="106"/>
      <c r="D419" s="15"/>
      <c r="E419" s="15"/>
      <c r="F419" s="16"/>
      <c r="G419" s="15"/>
      <c r="H419" s="15"/>
      <c r="I419" s="107"/>
      <c r="J419" s="15"/>
      <c r="K419" s="108"/>
      <c r="L419" s="16"/>
    </row>
  </sheetData>
  <mergeCells count="2">
    <mergeCell ref="D3:F3"/>
    <mergeCell ref="B3:C4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sheetPr codeName="Sheet160">
    <tabColor rgb="FFFF0000"/>
  </sheetPr>
  <dimension ref="A1:J73"/>
  <sheetViews>
    <sheetView showGridLines="0" topLeftCell="A5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919</v>
      </c>
      <c r="C2" s="986"/>
      <c r="D2" s="986"/>
      <c r="E2" s="986"/>
      <c r="F2" s="986"/>
      <c r="G2" s="986"/>
      <c r="H2" s="986"/>
      <c r="I2" s="986"/>
      <c r="J2" s="987"/>
    </row>
    <row r="3" spans="1:10" ht="17" customHeight="1">
      <c r="A3" s="956" t="s">
        <v>572</v>
      </c>
      <c r="B3" s="354"/>
      <c r="C3" s="79"/>
      <c r="D3" s="79"/>
      <c r="E3" s="79"/>
      <c r="F3" s="79"/>
      <c r="G3" s="79"/>
      <c r="H3" s="79"/>
      <c r="I3" s="79"/>
      <c r="J3" s="83"/>
    </row>
    <row r="4" spans="1:10" ht="20.25" customHeight="1">
      <c r="A4" s="956"/>
      <c r="B4" s="354"/>
      <c r="C4" s="79"/>
      <c r="D4" s="79"/>
      <c r="E4" s="79"/>
      <c r="F4" s="79"/>
      <c r="G4" s="79"/>
      <c r="H4" s="79"/>
      <c r="I4" s="79"/>
      <c r="J4" s="83"/>
    </row>
    <row r="5" spans="1:10" ht="20.25" customHeight="1">
      <c r="A5" s="956"/>
      <c r="B5" s="354"/>
      <c r="C5" s="79"/>
      <c r="D5" s="79"/>
      <c r="E5" s="79"/>
      <c r="F5" s="79"/>
      <c r="G5" s="79"/>
      <c r="H5" s="79"/>
      <c r="I5" s="79"/>
      <c r="J5" s="83"/>
    </row>
    <row r="6" spans="1:10" ht="20.25" customHeight="1">
      <c r="A6" s="956"/>
      <c r="B6" s="354"/>
      <c r="C6" s="79"/>
      <c r="D6" s="79"/>
      <c r="E6" s="79"/>
      <c r="F6" s="79"/>
      <c r="G6" s="79"/>
      <c r="H6" s="79"/>
      <c r="I6" s="79"/>
      <c r="J6" s="83"/>
    </row>
    <row r="7" spans="1:10" ht="20.25" customHeight="1">
      <c r="A7" s="956"/>
      <c r="B7" s="354"/>
      <c r="C7" s="79"/>
      <c r="D7" s="79"/>
      <c r="E7" s="79"/>
      <c r="F7" s="79"/>
      <c r="G7" s="79"/>
      <c r="H7" s="79"/>
      <c r="I7" s="79"/>
      <c r="J7" s="83"/>
    </row>
    <row r="8" spans="1:10" ht="20.25" customHeight="1">
      <c r="A8" s="956"/>
      <c r="B8" s="354"/>
      <c r="C8" s="79"/>
      <c r="D8" s="79"/>
      <c r="E8" s="79"/>
      <c r="F8" s="79"/>
      <c r="G8" s="79"/>
      <c r="H8" s="79"/>
      <c r="I8" s="79"/>
      <c r="J8" s="83"/>
    </row>
    <row r="9" spans="1:10" ht="20.25" customHeight="1">
      <c r="A9" s="956"/>
      <c r="B9" s="354"/>
      <c r="C9" s="79"/>
      <c r="D9" s="79"/>
      <c r="E9" s="79"/>
      <c r="F9" s="79"/>
      <c r="G9" s="79"/>
      <c r="H9" s="79"/>
      <c r="I9" s="79"/>
      <c r="J9" s="83"/>
    </row>
    <row r="10" spans="1:10" ht="20.25" customHeight="1">
      <c r="A10" s="956"/>
      <c r="B10" s="354"/>
      <c r="C10" s="79"/>
      <c r="D10" s="79"/>
      <c r="E10" s="79"/>
      <c r="F10" s="79"/>
      <c r="G10" s="79"/>
      <c r="H10" s="79"/>
      <c r="I10" s="79"/>
      <c r="J10" s="83"/>
    </row>
    <row r="11" spans="1:10" ht="20.25" customHeight="1">
      <c r="A11" s="957"/>
      <c r="B11" s="355"/>
      <c r="C11" s="356"/>
      <c r="D11" s="356"/>
      <c r="E11" s="356"/>
      <c r="F11" s="356"/>
      <c r="G11" s="356"/>
      <c r="H11" s="356"/>
      <c r="I11" s="356"/>
      <c r="J11" s="357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969</v>
      </c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>
        <v>125</v>
      </c>
      <c r="G14" s="131" t="str">
        <f>IFERROR(VLOOKUP(C14,MasterSheet!B6:N150,10,),"N/a")</f>
        <v>N/a</v>
      </c>
      <c r="H14" s="323" t="str">
        <f>IFERROR(VLOOKUP(C14,MasterSheet!$B$6:$N$150,11,),"N/a")</f>
        <v>N/a</v>
      </c>
      <c r="I14" s="323" t="str">
        <f>IFERROR(F14*H14,"-")</f>
        <v>-</v>
      </c>
      <c r="J14" s="166"/>
    </row>
    <row r="15" spans="1:10" ht="16.5" customHeight="1">
      <c r="A15" s="967"/>
      <c r="B15" s="973"/>
      <c r="C15" s="175" t="s">
        <v>999</v>
      </c>
      <c r="D15" s="130" t="str">
        <f>IFERROR(VLOOKUP(C15,MasterSheet!$B$6:$N$150,2,),"n/a")</f>
        <v>팜유</v>
      </c>
      <c r="E15" s="130" t="str">
        <f>IFERROR(VLOOKUP(C15,MasterSheet!$B$6:$N$150,3,),"n/a")</f>
        <v>Palm Oil</v>
      </c>
      <c r="F15" s="243">
        <f>F14*15%</f>
        <v>18.75</v>
      </c>
      <c r="G15" s="131" t="str">
        <f>IFERROR(VLOOKUP($C$15,MasterSheet!$B$6:$N$150,10,),"n/a")</f>
        <v>g</v>
      </c>
      <c r="H15" s="323">
        <f>IFERROR(VLOOKUP(C15,MasterSheet!$B$6:$N$150,11,),"N/a")</f>
        <v>25.580404040404041</v>
      </c>
      <c r="I15" s="323">
        <f>IFERROR(F15*H15,"-")</f>
        <v>479.63257575757575</v>
      </c>
      <c r="J15" s="167" t="s">
        <v>1137</v>
      </c>
    </row>
    <row r="16" spans="1:10" ht="16.899999999999999">
      <c r="A16" s="967"/>
      <c r="B16" s="973"/>
      <c r="C16" s="175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176"/>
      <c r="G16" s="131" t="str">
        <f>IFERROR(VLOOKUP($C$16,MasterSheet!$B$6:$N$150,10,),"n/a")</f>
        <v>n/a</v>
      </c>
      <c r="H16" s="323" t="str">
        <f>IFERROR(VLOOKUP(C16,MasterSheet!$B$6:$N$150,11,),"N/a")</f>
        <v>N/a</v>
      </c>
      <c r="I16" s="323" t="str">
        <f>IFERROR(F16*H16,"-")</f>
        <v>-</v>
      </c>
      <c r="J16" s="167"/>
    </row>
    <row r="17" spans="1:10" ht="16.899999999999999">
      <c r="A17" s="967"/>
      <c r="B17" s="973"/>
      <c r="C17" s="175"/>
      <c r="D17" s="130" t="str">
        <f>IFERROR(VLOOKUP(C17,MasterSheet!$B$6:$N$150,2,),"n/a")</f>
        <v>n/a</v>
      </c>
      <c r="E17" s="130" t="str">
        <f>IFERROR(VLOOKUP(C17,MasterSheet!$B$6:$N$150,3,),"n/a")</f>
        <v>n/a</v>
      </c>
      <c r="F17" s="176"/>
      <c r="G17" s="131" t="str">
        <f>IFERROR(VLOOKUP(C17,MasterSheet!B9:N153,10,),"N/a")</f>
        <v>N/a</v>
      </c>
      <c r="H17" s="323" t="str">
        <f>IFERROR(VLOOKUP(C17,MasterSheet!$B$6:$N$150,11,),"N/a")</f>
        <v>N/a</v>
      </c>
      <c r="I17" s="323" t="str">
        <f>IFERROR(F17*H17,"-")</f>
        <v>-</v>
      </c>
      <c r="J17" s="167"/>
    </row>
    <row r="18" spans="1:10" ht="16.899999999999999">
      <c r="A18" s="967"/>
      <c r="B18" s="974" t="s">
        <v>622</v>
      </c>
      <c r="C18" s="175"/>
      <c r="D18" s="140" t="e">
        <f>VLOOKUP(C18,CK!$B$8:$L$11,3,)</f>
        <v>#N/A</v>
      </c>
      <c r="E18" s="140" t="e">
        <f>VLOOKUP(C18,CK!$B$8:$L$11,4,)</f>
        <v>#N/A</v>
      </c>
      <c r="F18" s="239"/>
      <c r="G18" s="141" t="e">
        <f>VLOOKUP(C18,CK!$B$8:$L$11,9,)</f>
        <v>#N/A</v>
      </c>
      <c r="H18" s="324" t="e">
        <f>VLOOKUP(C18,CK!$B$8:$L$11,10,)</f>
        <v>#N/A</v>
      </c>
      <c r="I18" s="324" t="str">
        <f>IFERROR(F18*H18,"-")</f>
        <v>-</v>
      </c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16.899999999999999">
      <c r="A20" s="967"/>
      <c r="B20" s="974"/>
      <c r="C20" s="175"/>
      <c r="D20" s="140"/>
      <c r="E20" s="140"/>
      <c r="F20" s="176"/>
      <c r="G20" s="141"/>
      <c r="H20" s="324"/>
      <c r="I20" s="324"/>
      <c r="J20" s="170"/>
    </row>
    <row r="21" spans="1:10" ht="16.899999999999999">
      <c r="A21" s="967"/>
      <c r="B21" s="975" t="s">
        <v>623</v>
      </c>
      <c r="C21" s="175"/>
      <c r="D21" s="145"/>
      <c r="E21" s="145"/>
      <c r="F21" s="176"/>
      <c r="G21" s="147"/>
      <c r="H21" s="325"/>
      <c r="I21" s="325"/>
      <c r="J21" s="171"/>
    </row>
    <row r="22" spans="1:10" ht="16.899999999999999">
      <c r="A22" s="967"/>
      <c r="B22" s="976"/>
      <c r="C22" s="175"/>
      <c r="D22" s="145"/>
      <c r="E22" s="145"/>
      <c r="F22" s="176"/>
      <c r="G22" s="147"/>
      <c r="H22" s="325"/>
      <c r="I22" s="325"/>
      <c r="J22" s="171"/>
    </row>
    <row r="23" spans="1:10" ht="16.899999999999999">
      <c r="A23" s="967"/>
      <c r="B23" s="976"/>
      <c r="C23" s="175"/>
      <c r="D23" s="149"/>
      <c r="E23" s="149"/>
      <c r="F23" s="176"/>
      <c r="G23" s="147"/>
      <c r="H23" s="325"/>
      <c r="I23" s="325"/>
      <c r="J23" s="171"/>
    </row>
    <row r="24" spans="1:10" ht="17.25" thickBot="1">
      <c r="A24" s="968"/>
      <c r="B24" s="977"/>
      <c r="C24" s="241"/>
      <c r="D24" s="155"/>
      <c r="E24" s="154"/>
      <c r="F24" s="242"/>
      <c r="G24" s="152"/>
      <c r="H24" s="342"/>
      <c r="I24" s="342"/>
      <c r="J24" s="172"/>
    </row>
    <row r="25" spans="1:10" ht="17.25" thickBot="1">
      <c r="A25" s="156"/>
      <c r="B25" s="157" t="s">
        <v>614</v>
      </c>
      <c r="C25" s="935" t="s">
        <v>624</v>
      </c>
      <c r="D25" s="935"/>
      <c r="E25" s="339">
        <f>SUM(I14:I20)</f>
        <v>479.63257575757575</v>
      </c>
      <c r="F25" s="936" t="s">
        <v>625</v>
      </c>
      <c r="G25" s="936"/>
      <c r="H25" s="936"/>
      <c r="I25" s="341">
        <f>SUM(I14:I24)</f>
        <v>479.63257575757575</v>
      </c>
      <c r="J25" s="330" t="s">
        <v>790</v>
      </c>
    </row>
    <row r="26" spans="1:10" ht="17.25" thickBot="1">
      <c r="A26" s="156"/>
      <c r="B26" s="157"/>
      <c r="C26" s="158"/>
      <c r="D26" s="159"/>
      <c r="E26" s="159"/>
      <c r="F26" s="940" t="s">
        <v>789</v>
      </c>
      <c r="G26" s="940"/>
      <c r="H26" s="940"/>
      <c r="I26" s="340" t="e">
        <f>COSTING!#REF!</f>
        <v>#REF!</v>
      </c>
      <c r="J26" s="331" t="str">
        <f>IFERROR((I25/I26),"-")</f>
        <v>-</v>
      </c>
    </row>
    <row r="27" spans="1:10" ht="16.149999999999999" thickBot="1">
      <c r="A27" s="70"/>
      <c r="B27" s="97"/>
      <c r="C27" s="97"/>
      <c r="D27" s="97"/>
      <c r="E27" s="97"/>
      <c r="F27" s="98"/>
      <c r="G27" s="97"/>
      <c r="H27" s="97"/>
      <c r="I27" s="97"/>
      <c r="J27" s="127" t="s">
        <v>605</v>
      </c>
    </row>
    <row r="28" spans="1:10" ht="19.149999999999999" hidden="1">
      <c r="A28" s="941" t="s">
        <v>576</v>
      </c>
      <c r="B28" s="942"/>
      <c r="C28" s="942"/>
      <c r="D28" s="942"/>
      <c r="E28" s="942"/>
      <c r="F28" s="942"/>
      <c r="G28" s="942"/>
      <c r="H28" s="942"/>
      <c r="I28" s="942"/>
      <c r="J28" s="943"/>
    </row>
    <row r="29" spans="1:10" ht="16.899999999999999" hidden="1">
      <c r="A29" s="944" t="s">
        <v>577</v>
      </c>
      <c r="B29" s="945"/>
      <c r="C29" s="945"/>
      <c r="D29" s="946"/>
      <c r="E29" s="947" t="s">
        <v>578</v>
      </c>
      <c r="F29" s="947"/>
      <c r="G29" s="947"/>
      <c r="H29" s="947"/>
      <c r="I29" s="947"/>
      <c r="J29" s="948"/>
    </row>
    <row r="30" spans="1:10" ht="16.899999999999999" hidden="1">
      <c r="A30" s="73"/>
      <c r="B30" s="74"/>
      <c r="C30" s="74"/>
      <c r="D30" s="75"/>
      <c r="E30" s="76" t="s">
        <v>579</v>
      </c>
      <c r="F30" s="76"/>
      <c r="G30" s="67"/>
      <c r="H30" s="67"/>
      <c r="I30" s="67"/>
      <c r="J30" s="77"/>
    </row>
    <row r="31" spans="1:10" ht="15.75" hidden="1">
      <c r="A31" s="78"/>
      <c r="B31" s="79"/>
      <c r="C31" s="79"/>
      <c r="D31" s="80"/>
      <c r="E31" s="81" t="s">
        <v>580</v>
      </c>
      <c r="F31" s="82"/>
      <c r="G31" s="82"/>
      <c r="H31" s="82"/>
      <c r="I31" s="82"/>
      <c r="J31" s="83"/>
    </row>
    <row r="32" spans="1:10" ht="15.75" hidden="1">
      <c r="A32" s="78"/>
      <c r="B32" s="79"/>
      <c r="C32" s="79"/>
      <c r="D32" s="80"/>
      <c r="E32" s="76"/>
      <c r="F32" s="84"/>
      <c r="G32" s="79"/>
      <c r="H32" s="79"/>
      <c r="I32" s="79"/>
      <c r="J32" s="83"/>
    </row>
    <row r="33" spans="1:10" ht="15.75" hidden="1">
      <c r="A33" s="78"/>
      <c r="B33" s="79"/>
      <c r="C33" s="79"/>
      <c r="D33" s="80"/>
      <c r="E33" s="76" t="s">
        <v>581</v>
      </c>
      <c r="F33" s="82"/>
      <c r="G33" s="82"/>
      <c r="H33" s="82"/>
      <c r="I33" s="82"/>
      <c r="J33" s="83"/>
    </row>
    <row r="34" spans="1:10" ht="15.75" hidden="1">
      <c r="A34" s="78"/>
      <c r="B34" s="79"/>
      <c r="C34" s="79"/>
      <c r="D34" s="80"/>
      <c r="E34" s="76" t="s">
        <v>582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 t="s">
        <v>583</v>
      </c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/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584</v>
      </c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 t="s">
        <v>585</v>
      </c>
      <c r="F38" s="84"/>
      <c r="G38" s="79"/>
      <c r="H38" s="79"/>
      <c r="I38" s="79"/>
      <c r="J38" s="83"/>
    </row>
    <row r="39" spans="1:10" ht="16.899999999999999" hidden="1">
      <c r="A39" s="937"/>
      <c r="B39" s="938"/>
      <c r="C39" s="938"/>
      <c r="D39" s="939"/>
      <c r="E39" s="76" t="s">
        <v>586</v>
      </c>
      <c r="F39" s="86"/>
      <c r="G39" s="79"/>
      <c r="H39" s="79"/>
      <c r="I39" s="79"/>
      <c r="J39" s="83"/>
    </row>
    <row r="40" spans="1:10" ht="16.899999999999999" hidden="1">
      <c r="A40" s="73"/>
      <c r="B40" s="74"/>
      <c r="C40" s="74"/>
      <c r="D40" s="85"/>
      <c r="E40" s="76" t="s">
        <v>587</v>
      </c>
      <c r="F40" s="86"/>
      <c r="G40" s="79"/>
      <c r="H40" s="79"/>
      <c r="I40" s="79"/>
      <c r="J40" s="83"/>
    </row>
    <row r="41" spans="1:10" ht="16.899999999999999" hidden="1">
      <c r="A41" s="937"/>
      <c r="B41" s="938"/>
      <c r="C41" s="938"/>
      <c r="D41" s="939"/>
      <c r="E41" s="76" t="s">
        <v>588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589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76" t="s">
        <v>590</v>
      </c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88"/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76" t="s">
        <v>591</v>
      </c>
      <c r="F45" s="84"/>
      <c r="G45" s="79"/>
      <c r="H45" s="79"/>
      <c r="I45" s="79"/>
      <c r="J45" s="87"/>
    </row>
    <row r="46" spans="1:10" ht="16.899999999999999" hidden="1">
      <c r="A46" s="78"/>
      <c r="B46" s="79"/>
      <c r="C46" s="79"/>
      <c r="D46" s="80"/>
      <c r="E46" s="76" t="s">
        <v>592</v>
      </c>
      <c r="F46" s="84"/>
      <c r="G46" s="79"/>
      <c r="H46" s="79"/>
      <c r="I46" s="79"/>
      <c r="J46" s="87"/>
    </row>
    <row r="47" spans="1:10" hidden="1">
      <c r="A47" s="78"/>
      <c r="B47" s="79"/>
      <c r="C47" s="79"/>
      <c r="D47" s="80"/>
      <c r="E47" s="69"/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593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594</v>
      </c>
      <c r="F49" s="84"/>
      <c r="G49" s="79"/>
      <c r="H49" s="79"/>
      <c r="I49" s="79"/>
      <c r="J49" s="83"/>
    </row>
    <row r="50" spans="1:10" ht="15.75" hidden="1">
      <c r="A50" s="78"/>
      <c r="B50" s="79"/>
      <c r="C50" s="79"/>
      <c r="D50" s="80"/>
      <c r="E50" s="76" t="s">
        <v>595</v>
      </c>
      <c r="F50" s="88"/>
      <c r="G50" s="88"/>
      <c r="H50" s="88"/>
      <c r="I50" s="88"/>
      <c r="J50" s="83"/>
    </row>
    <row r="51" spans="1:10" ht="15.75" hidden="1">
      <c r="A51" s="78"/>
      <c r="B51" s="79"/>
      <c r="C51" s="79"/>
      <c r="D51" s="80"/>
      <c r="E51" s="76" t="s">
        <v>596</v>
      </c>
      <c r="F51" s="88"/>
      <c r="G51" s="88"/>
      <c r="H51" s="88"/>
      <c r="I51" s="88"/>
      <c r="J51" s="83"/>
    </row>
    <row r="52" spans="1:10" ht="16.899999999999999" hidden="1">
      <c r="A52" s="937"/>
      <c r="B52" s="938"/>
      <c r="C52" s="938"/>
      <c r="D52" s="939"/>
      <c r="E52" s="76" t="s">
        <v>597</v>
      </c>
      <c r="F52" s="89"/>
      <c r="G52" s="89"/>
      <c r="H52" s="89"/>
      <c r="I52" s="89"/>
      <c r="J52" s="83"/>
    </row>
    <row r="53" spans="1:10" ht="16.899999999999999" hidden="1">
      <c r="A53" s="73"/>
      <c r="B53" s="74"/>
      <c r="C53" s="74"/>
      <c r="D53" s="85"/>
      <c r="E53" s="76" t="s">
        <v>598</v>
      </c>
      <c r="F53" s="89"/>
      <c r="G53" s="89"/>
      <c r="H53" s="89"/>
      <c r="I53" s="89"/>
      <c r="J53" s="83"/>
    </row>
    <row r="54" spans="1:10" ht="16.899999999999999" hidden="1">
      <c r="A54" s="937"/>
      <c r="B54" s="938"/>
      <c r="C54" s="938"/>
      <c r="D54" s="939"/>
      <c r="E54" s="69"/>
      <c r="F54" s="89"/>
      <c r="G54" s="89"/>
      <c r="H54" s="89"/>
      <c r="I54" s="89"/>
      <c r="J54" s="83"/>
    </row>
    <row r="55" spans="1:10" ht="15.75" hidden="1">
      <c r="A55" s="78"/>
      <c r="B55" s="79"/>
      <c r="C55" s="79"/>
      <c r="D55" s="80"/>
      <c r="E55" s="69"/>
      <c r="F55" s="88"/>
      <c r="G55" s="88"/>
      <c r="H55" s="88"/>
      <c r="I55" s="88"/>
      <c r="J55" s="83"/>
    </row>
    <row r="56" spans="1:10" ht="16.149999999999999" hidden="1" thickBot="1">
      <c r="A56" s="90"/>
      <c r="B56" s="91"/>
      <c r="C56" s="91"/>
      <c r="D56" s="92"/>
      <c r="E56" s="93"/>
      <c r="F56" s="94"/>
      <c r="G56" s="94"/>
      <c r="H56" s="94"/>
      <c r="I56" s="94"/>
      <c r="J56" s="95"/>
    </row>
    <row r="57" spans="1:10" ht="16.149999999999999" hidden="1" thickBot="1">
      <c r="A57" s="70"/>
      <c r="B57" s="71"/>
      <c r="C57" s="71"/>
      <c r="D57" s="71"/>
      <c r="E57" s="71"/>
      <c r="F57" s="72"/>
      <c r="G57" s="71"/>
      <c r="H57" s="71"/>
      <c r="I57" s="71"/>
      <c r="J57" s="126" t="s">
        <v>605</v>
      </c>
    </row>
    <row r="58" spans="1:10" ht="19.149999999999999" hidden="1">
      <c r="A58" s="949" t="s">
        <v>576</v>
      </c>
      <c r="B58" s="950"/>
      <c r="C58" s="950"/>
      <c r="D58" s="950"/>
      <c r="E58" s="950"/>
      <c r="F58" s="950"/>
      <c r="G58" s="950"/>
      <c r="H58" s="950"/>
      <c r="I58" s="950"/>
      <c r="J58" s="951"/>
    </row>
    <row r="59" spans="1:10" ht="16.899999999999999" hidden="1">
      <c r="A59" s="944" t="s">
        <v>577</v>
      </c>
      <c r="B59" s="945"/>
      <c r="C59" s="945"/>
      <c r="D59" s="946"/>
      <c r="E59" s="945" t="s">
        <v>578</v>
      </c>
      <c r="F59" s="945"/>
      <c r="G59" s="945"/>
      <c r="H59" s="945"/>
      <c r="I59" s="945"/>
      <c r="J59" s="952"/>
    </row>
    <row r="60" spans="1:10" ht="16.899999999999999" hidden="1">
      <c r="A60" s="73"/>
      <c r="B60" s="74"/>
      <c r="C60" s="74"/>
      <c r="D60" s="75"/>
      <c r="E60" s="76" t="s">
        <v>599</v>
      </c>
      <c r="F60" s="76"/>
      <c r="G60" s="76"/>
      <c r="H60" s="67"/>
      <c r="I60" s="67"/>
      <c r="J60" s="77"/>
    </row>
    <row r="61" spans="1:10" ht="15.75" hidden="1">
      <c r="A61" s="78"/>
      <c r="B61" s="79"/>
      <c r="C61" s="79"/>
      <c r="D61" s="80"/>
      <c r="E61" s="76" t="s">
        <v>600</v>
      </c>
      <c r="F61" s="82"/>
      <c r="G61" s="82"/>
      <c r="H61" s="82"/>
      <c r="I61" s="82"/>
      <c r="J61" s="83"/>
    </row>
    <row r="62" spans="1:10" ht="15.75" hidden="1">
      <c r="A62" s="78"/>
      <c r="B62" s="79"/>
      <c r="C62" s="79"/>
      <c r="D62" s="80"/>
      <c r="E62" s="76" t="s">
        <v>601</v>
      </c>
      <c r="F62" s="84"/>
      <c r="G62" s="79"/>
      <c r="H62" s="79"/>
      <c r="I62" s="79"/>
      <c r="J62" s="83"/>
    </row>
    <row r="63" spans="1:10" ht="15.75" hidden="1">
      <c r="A63" s="78"/>
      <c r="B63" s="79"/>
      <c r="C63" s="79"/>
      <c r="D63" s="80"/>
      <c r="E63" s="76" t="s">
        <v>602</v>
      </c>
      <c r="F63" s="82"/>
      <c r="G63" s="82"/>
      <c r="H63" s="82"/>
      <c r="I63" s="82"/>
      <c r="J63" s="83"/>
    </row>
    <row r="64" spans="1:10" ht="15.75" hidden="1">
      <c r="A64" s="78"/>
      <c r="B64" s="79"/>
      <c r="C64" s="79"/>
      <c r="D64" s="80"/>
      <c r="E64" s="76" t="s">
        <v>603</v>
      </c>
      <c r="F64" s="84"/>
      <c r="G64" s="79"/>
      <c r="H64" s="79"/>
      <c r="I64" s="79"/>
      <c r="J64" s="83"/>
    </row>
    <row r="65" spans="1:10" hidden="1">
      <c r="A65" s="78"/>
      <c r="B65" s="79"/>
      <c r="C65" s="79"/>
      <c r="D65" s="80"/>
      <c r="E65" s="69"/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 t="s">
        <v>604</v>
      </c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5.75" hidden="1">
      <c r="A68" s="78"/>
      <c r="B68" s="79"/>
      <c r="C68" s="79"/>
      <c r="D68" s="80"/>
      <c r="E68" s="76"/>
      <c r="F68" s="84"/>
      <c r="G68" s="79"/>
      <c r="H68" s="79"/>
      <c r="I68" s="79"/>
      <c r="J68" s="83"/>
    </row>
    <row r="69" spans="1:10" ht="16.899999999999999" hidden="1">
      <c r="A69" s="937"/>
      <c r="B69" s="938"/>
      <c r="C69" s="938"/>
      <c r="D69" s="939"/>
      <c r="E69" s="76"/>
      <c r="F69" s="89"/>
      <c r="G69" s="89"/>
      <c r="H69" s="89"/>
      <c r="I69" s="89"/>
      <c r="J69" s="83"/>
    </row>
    <row r="70" spans="1:10" ht="16.899999999999999" hidden="1">
      <c r="A70" s="73"/>
      <c r="B70" s="74"/>
      <c r="C70" s="74"/>
      <c r="D70" s="85"/>
      <c r="E70" s="96"/>
      <c r="F70" s="89"/>
      <c r="G70" s="89"/>
      <c r="H70" s="89"/>
      <c r="I70" s="89"/>
      <c r="J70" s="83"/>
    </row>
    <row r="71" spans="1:10" ht="15.75" hidden="1">
      <c r="A71" s="78"/>
      <c r="B71" s="79"/>
      <c r="C71" s="79"/>
      <c r="D71" s="80"/>
      <c r="E71" s="69"/>
      <c r="F71" s="88"/>
      <c r="G71" s="88"/>
      <c r="H71" s="88"/>
      <c r="I71" s="88"/>
      <c r="J71" s="83"/>
    </row>
    <row r="72" spans="1:10" ht="16.149999999999999" hidden="1" thickBot="1">
      <c r="A72" s="90"/>
      <c r="B72" s="91"/>
      <c r="C72" s="91"/>
      <c r="D72" s="92"/>
      <c r="E72" s="93"/>
      <c r="F72" s="94"/>
      <c r="G72" s="94"/>
      <c r="H72" s="94"/>
      <c r="I72" s="94"/>
      <c r="J72" s="95"/>
    </row>
    <row r="73" spans="1:10" ht="16.149999999999999" hidden="1" thickBot="1">
      <c r="A73" s="70"/>
      <c r="B73" s="71"/>
      <c r="C73" s="71"/>
      <c r="D73" s="71"/>
      <c r="E73" s="71"/>
      <c r="F73" s="72"/>
      <c r="G73" s="71"/>
      <c r="H73" s="71"/>
      <c r="I73" s="71"/>
      <c r="J73" s="126" t="s">
        <v>605</v>
      </c>
    </row>
  </sheetData>
  <mergeCells count="29">
    <mergeCell ref="B2:J2"/>
    <mergeCell ref="A1:J1"/>
    <mergeCell ref="A3:A11"/>
    <mergeCell ref="A12:A24"/>
    <mergeCell ref="B12:B13"/>
    <mergeCell ref="C12:C13"/>
    <mergeCell ref="D12:E12"/>
    <mergeCell ref="F12:F13"/>
    <mergeCell ref="G12:G13"/>
    <mergeCell ref="H12:H13"/>
    <mergeCell ref="I12:I13"/>
    <mergeCell ref="J12:J13"/>
    <mergeCell ref="B14:B17"/>
    <mergeCell ref="B18:B20"/>
    <mergeCell ref="B21:B24"/>
    <mergeCell ref="C25:D25"/>
    <mergeCell ref="F25:H25"/>
    <mergeCell ref="A69:D69"/>
    <mergeCell ref="F26:H26"/>
    <mergeCell ref="A28:J28"/>
    <mergeCell ref="A29:D29"/>
    <mergeCell ref="E29:J29"/>
    <mergeCell ref="A39:D39"/>
    <mergeCell ref="A41:D41"/>
    <mergeCell ref="A52:D52"/>
    <mergeCell ref="A54:D54"/>
    <mergeCell ref="A58:J58"/>
    <mergeCell ref="A59:D59"/>
    <mergeCell ref="E59:J59"/>
  </mergeCells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sheetPr codeName="Sheet146">
    <tabColor rgb="FFFF0000"/>
  </sheetPr>
  <dimension ref="A1:J76"/>
  <sheetViews>
    <sheetView showGridLines="0" topLeftCell="C11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1131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968</v>
      </c>
      <c r="D14" s="136" t="str">
        <f>IFERROR(VLOOKUP(C14,MasterSheet!$B$6:$N$150,2,),"n/a")</f>
        <v>치즈볼(BBQ)</v>
      </c>
      <c r="E14" s="136" t="str">
        <f>IFERROR(VLOOKUP(C14,MasterSheet!$B$6:$N$150,3,),"n/a")</f>
        <v>Cheese Ball(BBQ)</v>
      </c>
      <c r="F14" s="176">
        <v>90</v>
      </c>
      <c r="G14" s="131" t="str">
        <f>IFERROR(VLOOKUP(C14,MasterSheet!B6:N150,10,),"N/a")</f>
        <v>g</v>
      </c>
      <c r="H14" s="323">
        <f>IFERROR(VLOOKUP(C14,MasterSheet!$B$6:$N$150,11,),"N/a")</f>
        <v>416.7138888888889</v>
      </c>
      <c r="I14" s="323">
        <f t="shared" ref="I14:I21" si="0">IFERROR(F14*H14,"-")</f>
        <v>37504.25</v>
      </c>
      <c r="J14" s="166"/>
    </row>
    <row r="15" spans="1:10" ht="16.5" customHeight="1">
      <c r="A15" s="967"/>
      <c r="B15" s="973"/>
      <c r="C15" s="175" t="s">
        <v>999</v>
      </c>
      <c r="D15" s="136" t="str">
        <f>IFERROR(VLOOKUP(C15,MasterSheet!$B$6:$N$150,2,),"n/a")</f>
        <v>팜유</v>
      </c>
      <c r="E15" s="136" t="str">
        <f>IFERROR(VLOOKUP(C15,MasterSheet!$B$6:$N$150,3,),"n/a")</f>
        <v>Palm Oil</v>
      </c>
      <c r="F15" s="176">
        <v>9</v>
      </c>
      <c r="G15" s="131" t="str">
        <f>IFERROR(VLOOKUP($C$15,MasterSheet!$B$6:$N$150,10,),"n/a")</f>
        <v>g</v>
      </c>
      <c r="H15" s="323">
        <f>IFERROR(VLOOKUP(C15,MasterSheet!$B$6:$N$150,11,),"N/a")</f>
        <v>25.580404040404041</v>
      </c>
      <c r="I15" s="323">
        <f t="shared" si="0"/>
        <v>230.22363636363636</v>
      </c>
      <c r="J15" s="167"/>
    </row>
    <row r="16" spans="1:10" ht="16.899999999999999">
      <c r="A16" s="967"/>
      <c r="B16" s="973"/>
      <c r="C16" s="175"/>
      <c r="D16" s="136" t="str">
        <f>IFERROR(VLOOKUP(C16,MasterSheet!$B$6:$N$150,2,),"n/a")</f>
        <v>n/a</v>
      </c>
      <c r="E16" s="136" t="str">
        <f>IFERROR(VLOOKUP(C16,MasterSheet!$B$6:$N$150,3,),"n/a")</f>
        <v>n/a</v>
      </c>
      <c r="F16" s="176"/>
      <c r="G16" s="131" t="str">
        <f>IFERROR(VLOOKUP($C$16,MasterSheet!$B$6:$N$150,10,),"n/a")</f>
        <v>n/a</v>
      </c>
      <c r="H16" s="134" t="str">
        <f>IFERROR(VLOOKUP(C16,MasterSheet!$B$6:$N$150,11,),"N/a")</f>
        <v>N/a</v>
      </c>
      <c r="I16" s="134" t="str">
        <f t="shared" si="0"/>
        <v>-</v>
      </c>
      <c r="J16" s="167"/>
    </row>
    <row r="17" spans="1:10" ht="16.899999999999999">
      <c r="A17" s="967"/>
      <c r="B17" s="973"/>
      <c r="C17" s="175"/>
      <c r="D17" s="136" t="str">
        <f>IFERROR(VLOOKUP(C17,MasterSheet!$B$6:$N$150,2,),"n/a")</f>
        <v>n/a</v>
      </c>
      <c r="E17" s="136" t="str">
        <f>IFERROR(VLOOKUP(C17,MasterSheet!$B$6:$N$150,3,),"n/a")</f>
        <v>n/a</v>
      </c>
      <c r="F17" s="176"/>
      <c r="G17" s="131" t="str">
        <f>IFERROR(VLOOKUP(C17,MasterSheet!B9:N153,10,),"N/a")</f>
        <v>N/a</v>
      </c>
      <c r="H17" s="134" t="str">
        <f>IFERROR(VLOOKUP(C17,MasterSheet!$B$6:$N$150,11,),"N/a")</f>
        <v>N/a</v>
      </c>
      <c r="I17" s="134" t="str">
        <f t="shared" si="0"/>
        <v>-</v>
      </c>
      <c r="J17" s="167"/>
    </row>
    <row r="18" spans="1:10" ht="16.899999999999999">
      <c r="A18" s="967"/>
      <c r="B18" s="973"/>
      <c r="C18" s="175"/>
      <c r="D18" s="136" t="str">
        <f>IFERROR(VLOOKUP(C18,MasterSheet!$B$6:$N$150,2,),"n/a")</f>
        <v>n/a</v>
      </c>
      <c r="E18" s="136" t="str">
        <f>IFERROR(VLOOKUP(C18,MasterSheet!$B$6:$N$150,3,),"n/a")</f>
        <v>n/a</v>
      </c>
      <c r="F18" s="176"/>
      <c r="G18" s="131" t="str">
        <f>IFERROR(VLOOKUP($C$18,MasterSheet!$B$6:$N$150,10,),"n/a")</f>
        <v>n/a</v>
      </c>
      <c r="H18" s="134" t="str">
        <f>IFERROR(VLOOKUP(C18,MasterSheet!$B$6:$N$150,11,),"N/a")</f>
        <v>N/a</v>
      </c>
      <c r="I18" s="134" t="str">
        <f t="shared" si="0"/>
        <v>-</v>
      </c>
      <c r="J18" s="167"/>
    </row>
    <row r="19" spans="1:10" ht="16.899999999999999">
      <c r="A19" s="967"/>
      <c r="B19" s="973"/>
      <c r="C19" s="175"/>
      <c r="D19" s="136" t="str">
        <f>IFERROR(VLOOKUP(C19,MasterSheet!$B$6:$N$150,2,),"n/a")</f>
        <v>n/a</v>
      </c>
      <c r="E19" s="136" t="str">
        <f>IFERROR(VLOOKUP(C19,MasterSheet!$B$6:$N$150,3,),"n/a")</f>
        <v>n/a</v>
      </c>
      <c r="F19" s="176"/>
      <c r="G19" s="131" t="str">
        <f>IFERROR(VLOOKUP($C$16,MasterSheet!$B$6:$N$150,10,),"n/a")</f>
        <v>n/a</v>
      </c>
      <c r="H19" s="134" t="str">
        <f>IFERROR(VLOOKUP(C19,MasterSheet!$B$6:$N$150,11,),"N/a")</f>
        <v>N/a</v>
      </c>
      <c r="I19" s="134" t="str">
        <f t="shared" si="0"/>
        <v>-</v>
      </c>
      <c r="J19" s="167"/>
    </row>
    <row r="20" spans="1:10" ht="16.899999999999999">
      <c r="A20" s="967"/>
      <c r="B20" s="973"/>
      <c r="C20" s="175"/>
      <c r="D20" s="136" t="str">
        <f>IFERROR(VLOOKUP(C20,MasterSheet!$B$6:$N$150,2,),"n/a")</f>
        <v>n/a</v>
      </c>
      <c r="E20" s="136" t="str">
        <f>IFERROR(VLOOKUP(C20,MasterSheet!$B$6:$N$150,3,),"n/a")</f>
        <v>n/a</v>
      </c>
      <c r="F20" s="176"/>
      <c r="G20" s="131" t="str">
        <f>IFERROR(VLOOKUP(C20,MasterSheet!B12:N155,10,),"N/a")</f>
        <v>N/a</v>
      </c>
      <c r="H20" s="134" t="str">
        <f>IFERROR(VLOOKUP(C20,MasterSheet!$B$6:$N$150,11,),"N/a")</f>
        <v>N/a</v>
      </c>
      <c r="I20" s="134" t="str">
        <f t="shared" si="0"/>
        <v>-</v>
      </c>
      <c r="J20" s="167"/>
    </row>
    <row r="21" spans="1:10" ht="16.899999999999999">
      <c r="A21" s="967"/>
      <c r="B21" s="974" t="s">
        <v>622</v>
      </c>
      <c r="C21" s="175"/>
      <c r="D21" s="140" t="e">
        <f>VLOOKUP(C21,CK!$B$8:$L$11,3,)</f>
        <v>#N/A</v>
      </c>
      <c r="E21" s="140" t="e">
        <f>VLOOKUP(C21,CK!$B$8:$L$11,4,)</f>
        <v>#N/A</v>
      </c>
      <c r="F21" s="239"/>
      <c r="G21" s="141" t="e">
        <f>VLOOKUP(C21,CK!$B$8:$L$11,9,)</f>
        <v>#N/A</v>
      </c>
      <c r="H21" s="142" t="e">
        <f>VLOOKUP(C21,CK!$B$8:$L$11,10,)</f>
        <v>#N/A</v>
      </c>
      <c r="I21" s="142" t="str">
        <f t="shared" si="0"/>
        <v>-</v>
      </c>
      <c r="J21" s="170"/>
    </row>
    <row r="22" spans="1:10" ht="16.899999999999999">
      <c r="A22" s="967"/>
      <c r="B22" s="974"/>
      <c r="C22" s="175"/>
      <c r="D22" s="140"/>
      <c r="E22" s="140"/>
      <c r="F22" s="176"/>
      <c r="G22" s="141"/>
      <c r="H22" s="142"/>
      <c r="I22" s="142"/>
      <c r="J22" s="170"/>
    </row>
    <row r="23" spans="1:10" ht="16.899999999999999">
      <c r="A23" s="967"/>
      <c r="B23" s="974"/>
      <c r="C23" s="175"/>
      <c r="D23" s="140"/>
      <c r="E23" s="140"/>
      <c r="F23" s="176"/>
      <c r="G23" s="141"/>
      <c r="H23" s="141"/>
      <c r="I23" s="141"/>
      <c r="J23" s="170"/>
    </row>
    <row r="24" spans="1:10" ht="16.899999999999999">
      <c r="A24" s="967"/>
      <c r="B24" s="975" t="s">
        <v>623</v>
      </c>
      <c r="C24" s="175"/>
      <c r="D24" s="145"/>
      <c r="E24" s="145"/>
      <c r="F24" s="176"/>
      <c r="G24" s="147"/>
      <c r="H24" s="147"/>
      <c r="I24" s="147"/>
      <c r="J24" s="171"/>
    </row>
    <row r="25" spans="1:10" ht="16.899999999999999">
      <c r="A25" s="967"/>
      <c r="B25" s="976"/>
      <c r="C25" s="175"/>
      <c r="D25" s="145"/>
      <c r="E25" s="145"/>
      <c r="F25" s="176"/>
      <c r="G25" s="147"/>
      <c r="H25" s="147"/>
      <c r="I25" s="147"/>
      <c r="J25" s="171"/>
    </row>
    <row r="26" spans="1:10" ht="16.899999999999999">
      <c r="A26" s="967"/>
      <c r="B26" s="976"/>
      <c r="C26" s="175"/>
      <c r="D26" s="149"/>
      <c r="E26" s="149"/>
      <c r="F26" s="176"/>
      <c r="G26" s="147"/>
      <c r="H26" s="147"/>
      <c r="I26" s="147"/>
      <c r="J26" s="171"/>
    </row>
    <row r="27" spans="1:10" ht="17.25" thickBot="1">
      <c r="A27" s="968"/>
      <c r="B27" s="977"/>
      <c r="C27" s="241"/>
      <c r="D27" s="155"/>
      <c r="E27" s="154"/>
      <c r="F27" s="242"/>
      <c r="G27" s="152"/>
      <c r="H27" s="152"/>
      <c r="I27" s="152"/>
      <c r="J27" s="172"/>
    </row>
    <row r="28" spans="1:10" ht="17.25" thickBot="1">
      <c r="A28" s="156"/>
      <c r="B28" s="157" t="s">
        <v>614</v>
      </c>
      <c r="C28" s="935" t="s">
        <v>624</v>
      </c>
      <c r="D28" s="935"/>
      <c r="E28" s="339">
        <f>SUM(I14:I23)</f>
        <v>37734.473636363633</v>
      </c>
      <c r="F28" s="989" t="s">
        <v>625</v>
      </c>
      <c r="G28" s="989"/>
      <c r="H28" s="989"/>
      <c r="I28" s="341">
        <f>SUM(I14:I27)</f>
        <v>37734.473636363633</v>
      </c>
      <c r="J28" s="330" t="s">
        <v>790</v>
      </c>
    </row>
    <row r="29" spans="1:10" ht="17.25" thickBot="1">
      <c r="A29" s="156"/>
      <c r="B29" s="157"/>
      <c r="C29" s="158"/>
      <c r="D29" s="159"/>
      <c r="E29" s="159"/>
      <c r="F29" s="940" t="s">
        <v>789</v>
      </c>
      <c r="G29" s="940"/>
      <c r="H29" s="940"/>
      <c r="I29" s="340">
        <f>COSTING!D829</f>
        <v>163</v>
      </c>
      <c r="J29" s="331">
        <f>IFERROR((I28/I29),"-")</f>
        <v>231.49983825989958</v>
      </c>
    </row>
    <row r="30" spans="1:10" ht="16.149999999999999" thickBot="1">
      <c r="A30" s="70"/>
      <c r="B30" s="97"/>
      <c r="C30" s="97"/>
      <c r="D30" s="97"/>
      <c r="E30" s="97"/>
      <c r="F30" s="98"/>
      <c r="G30" s="97"/>
      <c r="H30" s="97"/>
      <c r="I30" s="97"/>
      <c r="J30" s="127" t="s">
        <v>605</v>
      </c>
    </row>
    <row r="31" spans="1:10" ht="19.149999999999999" hidden="1">
      <c r="A31" s="941" t="s">
        <v>576</v>
      </c>
      <c r="B31" s="942"/>
      <c r="C31" s="942"/>
      <c r="D31" s="942"/>
      <c r="E31" s="942"/>
      <c r="F31" s="942"/>
      <c r="G31" s="942"/>
      <c r="H31" s="942"/>
      <c r="I31" s="942"/>
      <c r="J31" s="943"/>
    </row>
    <row r="32" spans="1:10" ht="16.899999999999999" hidden="1">
      <c r="A32" s="944" t="s">
        <v>577</v>
      </c>
      <c r="B32" s="945"/>
      <c r="C32" s="945"/>
      <c r="D32" s="946"/>
      <c r="E32" s="947" t="s">
        <v>578</v>
      </c>
      <c r="F32" s="947"/>
      <c r="G32" s="947"/>
      <c r="H32" s="947"/>
      <c r="I32" s="947"/>
      <c r="J32" s="948"/>
    </row>
    <row r="33" spans="1:10" ht="16.899999999999999" hidden="1">
      <c r="A33" s="73"/>
      <c r="B33" s="74"/>
      <c r="C33" s="74"/>
      <c r="D33" s="75"/>
      <c r="E33" s="76" t="s">
        <v>579</v>
      </c>
      <c r="F33" s="76"/>
      <c r="G33" s="67"/>
      <c r="H33" s="67"/>
      <c r="I33" s="67"/>
      <c r="J33" s="77"/>
    </row>
    <row r="34" spans="1:10" ht="15.75" hidden="1">
      <c r="A34" s="78"/>
      <c r="B34" s="79"/>
      <c r="C34" s="79"/>
      <c r="D34" s="80"/>
      <c r="E34" s="81" t="s">
        <v>580</v>
      </c>
      <c r="F34" s="82"/>
      <c r="G34" s="82"/>
      <c r="H34" s="82"/>
      <c r="I34" s="82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581</v>
      </c>
      <c r="F36" s="82"/>
      <c r="G36" s="82"/>
      <c r="H36" s="82"/>
      <c r="I36" s="82"/>
      <c r="J36" s="83"/>
    </row>
    <row r="37" spans="1:10" ht="15.75" hidden="1">
      <c r="A37" s="78"/>
      <c r="B37" s="79"/>
      <c r="C37" s="79"/>
      <c r="D37" s="80"/>
      <c r="E37" s="76" t="s">
        <v>582</v>
      </c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 t="s">
        <v>583</v>
      </c>
      <c r="F38" s="84"/>
      <c r="G38" s="79"/>
      <c r="H38" s="79"/>
      <c r="I38" s="79"/>
      <c r="J38" s="83"/>
    </row>
    <row r="39" spans="1:10" ht="15.75" hidden="1">
      <c r="A39" s="78"/>
      <c r="B39" s="79"/>
      <c r="C39" s="79"/>
      <c r="D39" s="80"/>
      <c r="E39" s="76"/>
      <c r="F39" s="84"/>
      <c r="G39" s="79"/>
      <c r="H39" s="79"/>
      <c r="I39" s="79"/>
      <c r="J39" s="83"/>
    </row>
    <row r="40" spans="1:10" ht="15.75" hidden="1">
      <c r="A40" s="78"/>
      <c r="B40" s="79"/>
      <c r="C40" s="79"/>
      <c r="D40" s="80"/>
      <c r="E40" s="76" t="s">
        <v>584</v>
      </c>
      <c r="F40" s="84"/>
      <c r="G40" s="79"/>
      <c r="H40" s="79"/>
      <c r="I40" s="79"/>
      <c r="J40" s="83"/>
    </row>
    <row r="41" spans="1:10" ht="15.75" hidden="1">
      <c r="A41" s="78"/>
      <c r="B41" s="79"/>
      <c r="C41" s="79"/>
      <c r="D41" s="80"/>
      <c r="E41" s="76" t="s">
        <v>585</v>
      </c>
      <c r="F41" s="84"/>
      <c r="G41" s="79"/>
      <c r="H41" s="79"/>
      <c r="I41" s="79"/>
      <c r="J41" s="83"/>
    </row>
    <row r="42" spans="1:10" ht="16.899999999999999" hidden="1">
      <c r="A42" s="937"/>
      <c r="B42" s="938"/>
      <c r="C42" s="938"/>
      <c r="D42" s="939"/>
      <c r="E42" s="76" t="s">
        <v>586</v>
      </c>
      <c r="F42" s="86"/>
      <c r="G42" s="79"/>
      <c r="H42" s="79"/>
      <c r="I42" s="79"/>
      <c r="J42" s="83"/>
    </row>
    <row r="43" spans="1:10" ht="16.899999999999999" hidden="1">
      <c r="A43" s="73"/>
      <c r="B43" s="74"/>
      <c r="C43" s="74"/>
      <c r="D43" s="85"/>
      <c r="E43" s="76" t="s">
        <v>587</v>
      </c>
      <c r="F43" s="86"/>
      <c r="G43" s="79"/>
      <c r="H43" s="79"/>
      <c r="I43" s="79"/>
      <c r="J43" s="83"/>
    </row>
    <row r="44" spans="1:10" ht="16.899999999999999" hidden="1">
      <c r="A44" s="937"/>
      <c r="B44" s="938"/>
      <c r="C44" s="938"/>
      <c r="D44" s="939"/>
      <c r="E44" s="76" t="s">
        <v>588</v>
      </c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76" t="s">
        <v>589</v>
      </c>
      <c r="F45" s="84"/>
      <c r="G45" s="79"/>
      <c r="H45" s="79"/>
      <c r="I45" s="79"/>
      <c r="J45" s="87"/>
    </row>
    <row r="46" spans="1:10" ht="16.899999999999999" hidden="1">
      <c r="A46" s="73"/>
      <c r="B46" s="74"/>
      <c r="C46" s="74"/>
      <c r="D46" s="85"/>
      <c r="E46" s="76" t="s">
        <v>590</v>
      </c>
      <c r="F46" s="84"/>
      <c r="G46" s="79"/>
      <c r="H46" s="79"/>
      <c r="I46" s="79"/>
      <c r="J46" s="87"/>
    </row>
    <row r="47" spans="1:10" ht="16.899999999999999" hidden="1">
      <c r="A47" s="73"/>
      <c r="B47" s="74"/>
      <c r="C47" s="74"/>
      <c r="D47" s="85"/>
      <c r="E47" s="88"/>
      <c r="F47" s="84"/>
      <c r="G47" s="79"/>
      <c r="H47" s="79"/>
      <c r="I47" s="79"/>
      <c r="J47" s="87"/>
    </row>
    <row r="48" spans="1:10" ht="16.899999999999999" hidden="1">
      <c r="A48" s="73"/>
      <c r="B48" s="74"/>
      <c r="C48" s="74"/>
      <c r="D48" s="85"/>
      <c r="E48" s="76" t="s">
        <v>591</v>
      </c>
      <c r="F48" s="84"/>
      <c r="G48" s="79"/>
      <c r="H48" s="79"/>
      <c r="I48" s="79"/>
      <c r="J48" s="87"/>
    </row>
    <row r="49" spans="1:10" ht="16.899999999999999" hidden="1">
      <c r="A49" s="78"/>
      <c r="B49" s="79"/>
      <c r="C49" s="79"/>
      <c r="D49" s="80"/>
      <c r="E49" s="76" t="s">
        <v>592</v>
      </c>
      <c r="F49" s="84"/>
      <c r="G49" s="79"/>
      <c r="H49" s="79"/>
      <c r="I49" s="79"/>
      <c r="J49" s="87"/>
    </row>
    <row r="50" spans="1:10" hidden="1">
      <c r="A50" s="78"/>
      <c r="B50" s="79"/>
      <c r="C50" s="79"/>
      <c r="D50" s="80"/>
      <c r="E50" s="69"/>
      <c r="F50" s="84"/>
      <c r="G50" s="79"/>
      <c r="H50" s="79"/>
      <c r="I50" s="79"/>
      <c r="J50" s="83"/>
    </row>
    <row r="51" spans="1:10" ht="15.75" hidden="1">
      <c r="A51" s="78"/>
      <c r="B51" s="79"/>
      <c r="C51" s="79"/>
      <c r="D51" s="80"/>
      <c r="E51" s="76" t="s">
        <v>593</v>
      </c>
      <c r="F51" s="84"/>
      <c r="G51" s="79"/>
      <c r="H51" s="79"/>
      <c r="I51" s="79"/>
      <c r="J51" s="83"/>
    </row>
    <row r="52" spans="1:10" ht="15.75" hidden="1">
      <c r="A52" s="78"/>
      <c r="B52" s="79"/>
      <c r="C52" s="79"/>
      <c r="D52" s="80"/>
      <c r="E52" s="76" t="s">
        <v>594</v>
      </c>
      <c r="F52" s="84"/>
      <c r="G52" s="79"/>
      <c r="H52" s="79"/>
      <c r="I52" s="79"/>
      <c r="J52" s="83"/>
    </row>
    <row r="53" spans="1:10" ht="15.75" hidden="1">
      <c r="A53" s="78"/>
      <c r="B53" s="79"/>
      <c r="C53" s="79"/>
      <c r="D53" s="80"/>
      <c r="E53" s="76" t="s">
        <v>595</v>
      </c>
      <c r="F53" s="88"/>
      <c r="G53" s="88"/>
      <c r="H53" s="88"/>
      <c r="I53" s="88"/>
      <c r="J53" s="83"/>
    </row>
    <row r="54" spans="1:10" ht="15.75" hidden="1">
      <c r="A54" s="78"/>
      <c r="B54" s="79"/>
      <c r="C54" s="79"/>
      <c r="D54" s="80"/>
      <c r="E54" s="76" t="s">
        <v>596</v>
      </c>
      <c r="F54" s="88"/>
      <c r="G54" s="88"/>
      <c r="H54" s="88"/>
      <c r="I54" s="88"/>
      <c r="J54" s="83"/>
    </row>
    <row r="55" spans="1:10" ht="16.899999999999999" hidden="1">
      <c r="A55" s="937"/>
      <c r="B55" s="938"/>
      <c r="C55" s="938"/>
      <c r="D55" s="939"/>
      <c r="E55" s="76" t="s">
        <v>597</v>
      </c>
      <c r="F55" s="89"/>
      <c r="G55" s="89"/>
      <c r="H55" s="89"/>
      <c r="I55" s="89"/>
      <c r="J55" s="83"/>
    </row>
    <row r="56" spans="1:10" ht="16.899999999999999" hidden="1">
      <c r="A56" s="73"/>
      <c r="B56" s="74"/>
      <c r="C56" s="74"/>
      <c r="D56" s="85"/>
      <c r="E56" s="76" t="s">
        <v>598</v>
      </c>
      <c r="F56" s="89"/>
      <c r="G56" s="89"/>
      <c r="H56" s="89"/>
      <c r="I56" s="89"/>
      <c r="J56" s="83"/>
    </row>
    <row r="57" spans="1:10" ht="16.899999999999999" hidden="1">
      <c r="A57" s="937"/>
      <c r="B57" s="938"/>
      <c r="C57" s="938"/>
      <c r="D57" s="939"/>
      <c r="E57" s="69"/>
      <c r="F57" s="89"/>
      <c r="G57" s="89"/>
      <c r="H57" s="89"/>
      <c r="I57" s="89"/>
      <c r="J57" s="83"/>
    </row>
    <row r="58" spans="1:10" ht="15.75" hidden="1">
      <c r="A58" s="78"/>
      <c r="B58" s="79"/>
      <c r="C58" s="79"/>
      <c r="D58" s="80"/>
      <c r="E58" s="69"/>
      <c r="F58" s="88"/>
      <c r="G58" s="88"/>
      <c r="H58" s="88"/>
      <c r="I58" s="88"/>
      <c r="J58" s="83"/>
    </row>
    <row r="59" spans="1:10" ht="16.149999999999999" hidden="1" thickBot="1">
      <c r="A59" s="90"/>
      <c r="B59" s="91"/>
      <c r="C59" s="91"/>
      <c r="D59" s="92"/>
      <c r="E59" s="93"/>
      <c r="F59" s="94"/>
      <c r="G59" s="94"/>
      <c r="H59" s="94"/>
      <c r="I59" s="94"/>
      <c r="J59" s="95"/>
    </row>
    <row r="60" spans="1:10" ht="16.149999999999999" hidden="1" thickBot="1">
      <c r="A60" s="70"/>
      <c r="B60" s="71"/>
      <c r="C60" s="71"/>
      <c r="D60" s="71"/>
      <c r="E60" s="71"/>
      <c r="F60" s="72"/>
      <c r="G60" s="71"/>
      <c r="H60" s="71"/>
      <c r="I60" s="71"/>
      <c r="J60" s="126" t="s">
        <v>605</v>
      </c>
    </row>
    <row r="61" spans="1:10" ht="19.149999999999999" hidden="1">
      <c r="A61" s="949" t="s">
        <v>576</v>
      </c>
      <c r="B61" s="950"/>
      <c r="C61" s="950"/>
      <c r="D61" s="950"/>
      <c r="E61" s="950"/>
      <c r="F61" s="950"/>
      <c r="G61" s="950"/>
      <c r="H61" s="950"/>
      <c r="I61" s="950"/>
      <c r="J61" s="951"/>
    </row>
    <row r="62" spans="1:10" ht="16.899999999999999" hidden="1">
      <c r="A62" s="944" t="s">
        <v>577</v>
      </c>
      <c r="B62" s="945"/>
      <c r="C62" s="945"/>
      <c r="D62" s="946"/>
      <c r="E62" s="945" t="s">
        <v>578</v>
      </c>
      <c r="F62" s="945"/>
      <c r="G62" s="945"/>
      <c r="H62" s="945"/>
      <c r="I62" s="945"/>
      <c r="J62" s="952"/>
    </row>
    <row r="63" spans="1:10" ht="16.899999999999999" hidden="1">
      <c r="A63" s="73"/>
      <c r="B63" s="74"/>
      <c r="C63" s="74"/>
      <c r="D63" s="75"/>
      <c r="E63" s="76" t="s">
        <v>599</v>
      </c>
      <c r="F63" s="76"/>
      <c r="G63" s="76"/>
      <c r="H63" s="67"/>
      <c r="I63" s="67"/>
      <c r="J63" s="77"/>
    </row>
    <row r="64" spans="1:10" ht="15.75" hidden="1">
      <c r="A64" s="78"/>
      <c r="B64" s="79"/>
      <c r="C64" s="79"/>
      <c r="D64" s="80"/>
      <c r="E64" s="76" t="s">
        <v>600</v>
      </c>
      <c r="F64" s="82"/>
      <c r="G64" s="82"/>
      <c r="H64" s="82"/>
      <c r="I64" s="82"/>
      <c r="J64" s="83"/>
    </row>
    <row r="65" spans="1:10" ht="15.75" hidden="1">
      <c r="A65" s="78"/>
      <c r="B65" s="79"/>
      <c r="C65" s="79"/>
      <c r="D65" s="80"/>
      <c r="E65" s="76" t="s">
        <v>601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 t="s">
        <v>602</v>
      </c>
      <c r="F66" s="82"/>
      <c r="G66" s="82"/>
      <c r="H66" s="82"/>
      <c r="I66" s="82"/>
      <c r="J66" s="83"/>
    </row>
    <row r="67" spans="1:10" ht="15.75" hidden="1">
      <c r="A67" s="78"/>
      <c r="B67" s="79"/>
      <c r="C67" s="79"/>
      <c r="D67" s="80"/>
      <c r="E67" s="76" t="s">
        <v>603</v>
      </c>
      <c r="F67" s="84"/>
      <c r="G67" s="79"/>
      <c r="H67" s="79"/>
      <c r="I67" s="79"/>
      <c r="J67" s="83"/>
    </row>
    <row r="68" spans="1:10" hidden="1">
      <c r="A68" s="78"/>
      <c r="B68" s="79"/>
      <c r="C68" s="79"/>
      <c r="D68" s="80"/>
      <c r="E68" s="69"/>
      <c r="F68" s="84"/>
      <c r="G68" s="79"/>
      <c r="H68" s="79"/>
      <c r="I68" s="79"/>
      <c r="J68" s="83"/>
    </row>
    <row r="69" spans="1:10" ht="15.75" hidden="1">
      <c r="A69" s="78"/>
      <c r="B69" s="79"/>
      <c r="C69" s="79"/>
      <c r="D69" s="80"/>
      <c r="E69" s="76" t="s">
        <v>604</v>
      </c>
      <c r="F69" s="84"/>
      <c r="G69" s="79"/>
      <c r="H69" s="79"/>
      <c r="I69" s="79"/>
      <c r="J69" s="83"/>
    </row>
    <row r="70" spans="1:10" ht="15.75" hidden="1">
      <c r="A70" s="78"/>
      <c r="B70" s="79"/>
      <c r="C70" s="79"/>
      <c r="D70" s="80"/>
      <c r="E70" s="76"/>
      <c r="F70" s="84"/>
      <c r="G70" s="79"/>
      <c r="H70" s="79"/>
      <c r="I70" s="79"/>
      <c r="J70" s="83"/>
    </row>
    <row r="71" spans="1:10" ht="15.75" hidden="1">
      <c r="A71" s="78"/>
      <c r="B71" s="79"/>
      <c r="C71" s="79"/>
      <c r="D71" s="80"/>
      <c r="E71" s="76"/>
      <c r="F71" s="84"/>
      <c r="G71" s="79"/>
      <c r="H71" s="79"/>
      <c r="I71" s="79"/>
      <c r="J71" s="83"/>
    </row>
    <row r="72" spans="1:10" ht="16.899999999999999" hidden="1">
      <c r="A72" s="937"/>
      <c r="B72" s="938"/>
      <c r="C72" s="938"/>
      <c r="D72" s="939"/>
      <c r="E72" s="76"/>
      <c r="F72" s="89"/>
      <c r="G72" s="89"/>
      <c r="H72" s="89"/>
      <c r="I72" s="89"/>
      <c r="J72" s="83"/>
    </row>
    <row r="73" spans="1:10" ht="16.899999999999999" hidden="1">
      <c r="A73" s="73"/>
      <c r="B73" s="74"/>
      <c r="C73" s="74"/>
      <c r="D73" s="85"/>
      <c r="E73" s="96"/>
      <c r="F73" s="89"/>
      <c r="G73" s="89"/>
      <c r="H73" s="89"/>
      <c r="I73" s="89"/>
      <c r="J73" s="83"/>
    </row>
    <row r="74" spans="1:10" ht="15.75" hidden="1">
      <c r="A74" s="78"/>
      <c r="B74" s="79"/>
      <c r="C74" s="79"/>
      <c r="D74" s="80"/>
      <c r="E74" s="69"/>
      <c r="F74" s="88"/>
      <c r="G74" s="88"/>
      <c r="H74" s="88"/>
      <c r="I74" s="88"/>
      <c r="J74" s="83"/>
    </row>
    <row r="75" spans="1:10" ht="16.149999999999999" hidden="1" thickBot="1">
      <c r="A75" s="90"/>
      <c r="B75" s="91"/>
      <c r="C75" s="91"/>
      <c r="D75" s="92"/>
      <c r="E75" s="93"/>
      <c r="F75" s="94"/>
      <c r="G75" s="94"/>
      <c r="H75" s="94"/>
      <c r="I75" s="94"/>
      <c r="J75" s="95"/>
    </row>
    <row r="76" spans="1:10" ht="16.149999999999999" hidden="1" thickBot="1">
      <c r="A76" s="70"/>
      <c r="B76" s="71"/>
      <c r="C76" s="71"/>
      <c r="D76" s="71"/>
      <c r="E76" s="71"/>
      <c r="F76" s="72"/>
      <c r="G76" s="71"/>
      <c r="H76" s="71"/>
      <c r="I76" s="71"/>
      <c r="J76" s="126" t="s">
        <v>605</v>
      </c>
    </row>
  </sheetData>
  <mergeCells count="30">
    <mergeCell ref="C28:D28"/>
    <mergeCell ref="F28:H28"/>
    <mergeCell ref="A72:D72"/>
    <mergeCell ref="F29:H29"/>
    <mergeCell ref="A31:J31"/>
    <mergeCell ref="A32:D32"/>
    <mergeCell ref="E32:J32"/>
    <mergeCell ref="A42:D42"/>
    <mergeCell ref="A44:D44"/>
    <mergeCell ref="A55:D55"/>
    <mergeCell ref="A57:D57"/>
    <mergeCell ref="A61:J61"/>
    <mergeCell ref="A62:D62"/>
    <mergeCell ref="E62:J62"/>
    <mergeCell ref="A1:J1"/>
    <mergeCell ref="A3:A11"/>
    <mergeCell ref="B3:J11"/>
    <mergeCell ref="A12:A27"/>
    <mergeCell ref="B12:B13"/>
    <mergeCell ref="C12:C13"/>
    <mergeCell ref="D12:E12"/>
    <mergeCell ref="F12:F13"/>
    <mergeCell ref="G12:G13"/>
    <mergeCell ref="H12:H13"/>
    <mergeCell ref="I12:I13"/>
    <mergeCell ref="J12:J13"/>
    <mergeCell ref="B14:B20"/>
    <mergeCell ref="B21:B23"/>
    <mergeCell ref="B24:B27"/>
    <mergeCell ref="B2:J2"/>
  </mergeCells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C05ED6-7B1C-4FFB-997A-23BD6B90A7A6}">
  <sheetPr codeName="Sheet169">
    <tabColor rgb="FFFF0000"/>
  </sheetPr>
  <dimension ref="A1:J72"/>
  <sheetViews>
    <sheetView showGridLines="0" topLeftCell="A12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1132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995</v>
      </c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>
        <v>150</v>
      </c>
      <c r="G14" s="131" t="str">
        <f>IFERROR(VLOOKUP(C14,MasterSheet!B6:N150,10,),"N/a")</f>
        <v>N/a</v>
      </c>
      <c r="H14" s="323" t="str">
        <f>IFERROR(VLOOKUP(C14,MasterSheet!$B$6:$N$150,11,),"N/a")</f>
        <v>N/a</v>
      </c>
      <c r="I14" s="323" t="str">
        <f>IFERROR(F14*H14,"-")</f>
        <v>-</v>
      </c>
      <c r="J14" s="166"/>
    </row>
    <row r="15" spans="1:10" ht="16.899999999999999">
      <c r="A15" s="967"/>
      <c r="B15" s="973"/>
      <c r="C15" s="175" t="s">
        <v>999</v>
      </c>
      <c r="D15" s="130" t="str">
        <f>IFERROR(VLOOKUP(C15,MasterSheet!$B$6:$N$150,2,),"n/a")</f>
        <v>팜유</v>
      </c>
      <c r="E15" s="130" t="str">
        <f>IFERROR(VLOOKUP(C15,MasterSheet!$B$6:$N$150,3,),"n/a")</f>
        <v>Palm Oil</v>
      </c>
      <c r="F15" s="176">
        <f>F14*0.1</f>
        <v>15</v>
      </c>
      <c r="G15" s="131" t="str">
        <f>IFERROR(VLOOKUP($C$15,MasterSheet!$B$6:$N$150,10,),"n/a")</f>
        <v>g</v>
      </c>
      <c r="H15" s="323">
        <f>IFERROR(VLOOKUP(C15,MasterSheet!$B$6:$N$150,11,),"N/a")</f>
        <v>25.580404040404041</v>
      </c>
      <c r="I15" s="323">
        <f>IFERROR(F15*H15,"-")</f>
        <v>383.70606060606059</v>
      </c>
      <c r="J15" s="167" t="s">
        <v>1136</v>
      </c>
    </row>
    <row r="16" spans="1:10" ht="16.899999999999999">
      <c r="A16" s="967"/>
      <c r="B16" s="973"/>
      <c r="C16" s="175" t="s">
        <v>4</v>
      </c>
      <c r="D16" s="130" t="str">
        <f>IFERROR(VLOOKUP(C16,MasterSheet!$B$6:$N$150,2,),"n/a")</f>
        <v>올리브치킨용배터믹스</v>
      </c>
      <c r="E16" s="130" t="str">
        <f>IFERROR(VLOOKUP(C16,MasterSheet!$B$6:$N$150,3,),"n/a")</f>
        <v>Battering Powder Mix</v>
      </c>
      <c r="F16" s="176">
        <f>F14*9%</f>
        <v>13.5</v>
      </c>
      <c r="G16" s="131" t="str">
        <f>IFERROR(VLOOKUP(C16,MasterSheet!B9:N153,10,),"N/a")</f>
        <v>N/a</v>
      </c>
      <c r="H16" s="134">
        <f>IFERROR(VLOOKUP(C16,MasterSheet!$B$6:$N$150,11,),"N/a")</f>
        <v>81.617647058823536</v>
      </c>
      <c r="I16" s="134">
        <f>IFERROR(F16*H16,"-")</f>
        <v>1101.8382352941178</v>
      </c>
      <c r="J16" s="167"/>
    </row>
    <row r="17" spans="1:10" ht="16.899999999999999">
      <c r="A17" s="967"/>
      <c r="B17" s="973"/>
      <c r="C17" s="175"/>
      <c r="D17" s="130" t="str">
        <f>IFERROR(VLOOKUP(C17,MasterSheet!$B$6:$N$150,2,),"n/a")</f>
        <v>n/a</v>
      </c>
      <c r="E17" s="130" t="str">
        <f>IFERROR(VLOOKUP(C17,MasterSheet!$B$6:$N$150,3,),"n/a")</f>
        <v>n/a</v>
      </c>
      <c r="F17" s="176"/>
      <c r="G17" s="131" t="str">
        <f>IFERROR(VLOOKUP(#REF!,MasterSheet!$B$6:$N$150,10,),"n/a")</f>
        <v>n/a</v>
      </c>
      <c r="H17" s="134" t="str">
        <f>IFERROR(VLOOKUP(C17,MasterSheet!$B$6:$N$150,11,),"N/a")</f>
        <v>N/a</v>
      </c>
      <c r="I17" s="134" t="str">
        <f>IFERROR(F17*H17,"-")</f>
        <v>-</v>
      </c>
      <c r="J17" s="167"/>
    </row>
    <row r="18" spans="1:10" ht="28.5">
      <c r="A18" s="967"/>
      <c r="B18" s="974" t="s">
        <v>622</v>
      </c>
      <c r="C18" s="175" t="s">
        <v>567</v>
      </c>
      <c r="D18" s="140" t="str">
        <f>VLOOKUP(C18,CK!$B$8:$L$11,3,)</f>
        <v>올리브배터믹스솔루션</v>
      </c>
      <c r="E18" s="140" t="str">
        <f>VLOOKUP(C18,CK!$B$8:$L$11,4,)</f>
        <v>Battering Powder Mix Solution(White)</v>
      </c>
      <c r="F18" s="239">
        <f>F14*15%</f>
        <v>22.5</v>
      </c>
      <c r="G18" s="141" t="str">
        <f>VLOOKUP(C18,CK!$B$8:$L$11,9,)</f>
        <v>g</v>
      </c>
      <c r="H18" s="142">
        <f>VLOOKUP(C18,CK!$B$8:$L$11,10,)</f>
        <v>30.23</v>
      </c>
      <c r="I18" s="142">
        <f>IFERROR(F18*H18,"-")</f>
        <v>680.17499999999995</v>
      </c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141"/>
      <c r="I19" s="141"/>
      <c r="J19" s="170"/>
    </row>
    <row r="20" spans="1:10" ht="16.899999999999999">
      <c r="A20" s="967"/>
      <c r="B20" s="975" t="s">
        <v>623</v>
      </c>
      <c r="C20" s="175"/>
      <c r="D20" s="145"/>
      <c r="E20" s="145"/>
      <c r="F20" s="176"/>
      <c r="G20" s="147"/>
      <c r="H20" s="147"/>
      <c r="I20" s="147"/>
      <c r="J20" s="171"/>
    </row>
    <row r="21" spans="1:10" ht="16.899999999999999">
      <c r="A21" s="967"/>
      <c r="B21" s="976"/>
      <c r="C21" s="175"/>
      <c r="D21" s="145"/>
      <c r="E21" s="145"/>
      <c r="F21" s="176"/>
      <c r="G21" s="147"/>
      <c r="H21" s="147"/>
      <c r="I21" s="147"/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147"/>
      <c r="I22" s="147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152"/>
      <c r="I23" s="15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41">
        <f>SUM(I14:I19)</f>
        <v>2165.7192959001786</v>
      </c>
      <c r="F24" s="988" t="s">
        <v>625</v>
      </c>
      <c r="G24" s="988"/>
      <c r="H24" s="988"/>
      <c r="I24" s="341">
        <f>SUM(I14:I23)</f>
        <v>2165.7192959001786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237" t="e">
        <f>COSTING!#REF!</f>
        <v>#REF!</v>
      </c>
      <c r="J25" s="331" t="str">
        <f>IFERROR((I24/I25),"-")</f>
        <v>-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C24:D24"/>
    <mergeCell ref="F24:H24"/>
    <mergeCell ref="A68:D68"/>
    <mergeCell ref="F25:H25"/>
    <mergeCell ref="A27:J27"/>
    <mergeCell ref="A28:D28"/>
    <mergeCell ref="E28:J28"/>
    <mergeCell ref="A38:D38"/>
    <mergeCell ref="A40:D40"/>
    <mergeCell ref="A51:D51"/>
    <mergeCell ref="A53:D53"/>
    <mergeCell ref="A57:J57"/>
    <mergeCell ref="A58:D58"/>
    <mergeCell ref="E58:J58"/>
    <mergeCell ref="A1:J1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7"/>
    <mergeCell ref="B18:B19"/>
    <mergeCell ref="B20:B23"/>
    <mergeCell ref="B2:J2"/>
  </mergeCells>
  <phoneticPr fontId="2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 codeName="Sheet140">
    <tabColor rgb="FFFF0000"/>
  </sheetPr>
  <dimension ref="A1:J72"/>
  <sheetViews>
    <sheetView showGridLines="0" topLeftCell="A5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1133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1042</v>
      </c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>
        <v>40</v>
      </c>
      <c r="G14" s="131" t="str">
        <f>IFERROR(VLOOKUP(C14,MasterSheet!B6:N150,10,),"N/a")</f>
        <v>N/a</v>
      </c>
      <c r="H14" s="323" t="str">
        <f>IFERROR(VLOOKUP(C14,MasterSheet!$B$6:$N$150,11,),"N/a")</f>
        <v>N/a</v>
      </c>
      <c r="I14" s="323" t="str">
        <f>IFERROR(F14*H14,"-")</f>
        <v>-</v>
      </c>
      <c r="J14" s="166"/>
    </row>
    <row r="15" spans="1:10" ht="16.5" customHeight="1">
      <c r="A15" s="967"/>
      <c r="B15" s="973"/>
      <c r="C15" s="175" t="s">
        <v>999</v>
      </c>
      <c r="D15" s="130" t="str">
        <f>IFERROR(VLOOKUP(C15,MasterSheet!$B$6:$N$150,2,),"n/a")</f>
        <v>팜유</v>
      </c>
      <c r="E15" s="130" t="str">
        <f>IFERROR(VLOOKUP(C15,MasterSheet!$B$6:$N$150,3,),"n/a")</f>
        <v>Palm Oil</v>
      </c>
      <c r="F15" s="176">
        <f>F14*0.2</f>
        <v>8</v>
      </c>
      <c r="G15" s="131" t="str">
        <f>IFERROR(VLOOKUP($C$15,MasterSheet!$B$6:$N$150,10,),"n/a")</f>
        <v>g</v>
      </c>
      <c r="H15" s="323">
        <f>IFERROR(VLOOKUP(C15,MasterSheet!$B$6:$N$150,11,),"N/a")</f>
        <v>25.580404040404041</v>
      </c>
      <c r="I15" s="323">
        <f>IFERROR(F15*H15,"-")</f>
        <v>204.64323232323233</v>
      </c>
      <c r="J15" s="167" t="s">
        <v>1137</v>
      </c>
    </row>
    <row r="16" spans="1:10" ht="16.899999999999999">
      <c r="A16" s="967"/>
      <c r="B16" s="973"/>
      <c r="C16" s="175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176"/>
      <c r="G16" s="131" t="str">
        <f>IFERROR(VLOOKUP($C$16,MasterSheet!$B$6:$N$150,10,),"n/a")</f>
        <v>n/a</v>
      </c>
      <c r="H16" s="323" t="str">
        <f>IFERROR(VLOOKUP(C16,MasterSheet!$B$6:$N$150,11,),"N/a")</f>
        <v>N/a</v>
      </c>
      <c r="I16" s="323" t="str">
        <f>IFERROR(F16*H16,"-")</f>
        <v>-</v>
      </c>
      <c r="J16" s="167"/>
    </row>
    <row r="17" spans="1:10" ht="16.899999999999999">
      <c r="A17" s="967"/>
      <c r="B17" s="974" t="s">
        <v>622</v>
      </c>
      <c r="C17" s="175"/>
      <c r="D17" s="140" t="e">
        <f>VLOOKUP(C17,CK!$B$8:$L$11,3,)</f>
        <v>#N/A</v>
      </c>
      <c r="E17" s="140" t="e">
        <f>VLOOKUP(C17,CK!$B$8:$L$11,4,)</f>
        <v>#N/A</v>
      </c>
      <c r="F17" s="245"/>
      <c r="G17" s="141" t="e">
        <f>VLOOKUP(C17,CK!$B$8:$L$11,9,)</f>
        <v>#N/A</v>
      </c>
      <c r="H17" s="324" t="e">
        <f>VLOOKUP(C17,CK!$B$8:$L$11,10,)</f>
        <v>#N/A</v>
      </c>
      <c r="I17" s="324" t="str">
        <f>IFERROR(F17*H17,"-")</f>
        <v>-</v>
      </c>
      <c r="J17" s="170"/>
    </row>
    <row r="18" spans="1:10" ht="16.899999999999999">
      <c r="A18" s="967"/>
      <c r="B18" s="974"/>
      <c r="C18" s="175"/>
      <c r="D18" s="140"/>
      <c r="E18" s="140"/>
      <c r="F18" s="176"/>
      <c r="G18" s="141"/>
      <c r="H18" s="324"/>
      <c r="I18" s="324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16.899999999999999">
      <c r="A20" s="967"/>
      <c r="B20" s="975" t="s">
        <v>623</v>
      </c>
      <c r="C20" s="175"/>
      <c r="D20" s="145"/>
      <c r="E20" s="145"/>
      <c r="F20" s="176"/>
      <c r="G20" s="147"/>
      <c r="H20" s="325"/>
      <c r="I20" s="325"/>
      <c r="J20" s="171"/>
    </row>
    <row r="21" spans="1:10" ht="16.899999999999999">
      <c r="A21" s="967"/>
      <c r="B21" s="976"/>
      <c r="C21" s="175"/>
      <c r="D21" s="145"/>
      <c r="E21" s="145"/>
      <c r="F21" s="176"/>
      <c r="G21" s="147"/>
      <c r="H21" s="325"/>
      <c r="I21" s="325"/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325"/>
      <c r="I22" s="325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342"/>
      <c r="I23" s="34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41">
        <f>SUM(I14:I19)</f>
        <v>204.64323232323233</v>
      </c>
      <c r="F24" s="988" t="s">
        <v>625</v>
      </c>
      <c r="G24" s="988"/>
      <c r="H24" s="988"/>
      <c r="I24" s="341">
        <f>SUM(I14:I23)</f>
        <v>204.64323232323233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237" t="e">
        <f>COSTING!#REF!</f>
        <v>#REF!</v>
      </c>
      <c r="J25" s="331" t="str">
        <f>IFERROR((I24/I25),"-")</f>
        <v>-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C24:D24"/>
    <mergeCell ref="F24:H24"/>
    <mergeCell ref="A68:D68"/>
    <mergeCell ref="F25:H25"/>
    <mergeCell ref="A27:J27"/>
    <mergeCell ref="A28:D28"/>
    <mergeCell ref="E28:J28"/>
    <mergeCell ref="A38:D38"/>
    <mergeCell ref="A40:D40"/>
    <mergeCell ref="A51:D51"/>
    <mergeCell ref="A53:D53"/>
    <mergeCell ref="A57:J57"/>
    <mergeCell ref="A58:D58"/>
    <mergeCell ref="E58:J58"/>
    <mergeCell ref="A1:J1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  <mergeCell ref="B20:B23"/>
    <mergeCell ref="B2:J2"/>
  </mergeCells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083835-96CA-4F04-AFE1-D8EA45A84D04}">
  <sheetPr codeName="Sheet170">
    <tabColor rgb="FFFF0000"/>
  </sheetPr>
  <dimension ref="A1:L84"/>
  <sheetViews>
    <sheetView showGridLines="0" topLeftCell="A5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1134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1043</v>
      </c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>
        <v>100</v>
      </c>
      <c r="G14" s="131" t="str">
        <f>IFERROR(VLOOKUP(C14,MasterSheet!B6:N150,10,),"N/a")</f>
        <v>N/a</v>
      </c>
      <c r="H14" s="323" t="str">
        <f>IFERROR(VLOOKUP(C14,MasterSheet!$B$6:$N$150,11,),"N/a")</f>
        <v>N/a</v>
      </c>
      <c r="I14" s="323" t="str">
        <f>IFERROR(F14*H14,"-")</f>
        <v>-</v>
      </c>
      <c r="J14" s="166"/>
    </row>
    <row r="15" spans="1:10" ht="16.5" customHeight="1">
      <c r="A15" s="967"/>
      <c r="B15" s="973"/>
      <c r="C15" s="175" t="s">
        <v>999</v>
      </c>
      <c r="D15" s="130" t="str">
        <f>IFERROR(VLOOKUP(C15,MasterSheet!$B$6:$N$150,2,),"n/a")</f>
        <v>팜유</v>
      </c>
      <c r="E15" s="130" t="str">
        <f>IFERROR(VLOOKUP(C15,MasterSheet!$B$6:$N$150,3,),"n/a")</f>
        <v>Palm Oil</v>
      </c>
      <c r="F15" s="176">
        <v>10</v>
      </c>
      <c r="G15" s="131" t="str">
        <f>IFERROR(VLOOKUP($C$15,MasterSheet!$B$6:$N$150,10,),"n/a")</f>
        <v>g</v>
      </c>
      <c r="H15" s="323">
        <f>IFERROR(VLOOKUP(C15,MasterSheet!$B$6:$N$150,11,),"N/a")</f>
        <v>25.580404040404041</v>
      </c>
      <c r="I15" s="323">
        <f>IFERROR(F15*H15,"-")</f>
        <v>255.80404040404039</v>
      </c>
      <c r="J15" s="360" t="s">
        <v>1137</v>
      </c>
    </row>
    <row r="16" spans="1:10" ht="16.899999999999999">
      <c r="A16" s="967"/>
      <c r="B16" s="973"/>
      <c r="C16" s="175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176"/>
      <c r="G16" s="131" t="str">
        <f>IFERROR(VLOOKUP($C$16,MasterSheet!$B$6:$N$150,10,),"n/a")</f>
        <v>n/a</v>
      </c>
      <c r="H16" s="134" t="str">
        <f>IFERROR(VLOOKUP(C16,MasterSheet!$B$6:$N$150,11,),"N/a")</f>
        <v>N/a</v>
      </c>
      <c r="I16" s="134" t="str">
        <f>IFERROR(F16*H16,"-")</f>
        <v>-</v>
      </c>
      <c r="J16" s="167"/>
    </row>
    <row r="17" spans="1:12" ht="16.899999999999999">
      <c r="A17" s="967"/>
      <c r="B17" s="973"/>
      <c r="C17" s="175"/>
      <c r="D17" s="130" t="str">
        <f>IFERROR(VLOOKUP(C17,MasterSheet!$B$6:$N$150,2,),"n/a")</f>
        <v>n/a</v>
      </c>
      <c r="E17" s="130" t="str">
        <f>IFERROR(VLOOKUP(C17,MasterSheet!$B$6:$N$150,3,),"n/a")</f>
        <v>n/a</v>
      </c>
      <c r="F17" s="176"/>
      <c r="G17" s="131" t="str">
        <f>IFERROR(VLOOKUP(C17,MasterSheet!B9:N153,10,),"N/a")</f>
        <v>N/a</v>
      </c>
      <c r="H17" s="134" t="str">
        <f>IFERROR(VLOOKUP(C17,MasterSheet!$B$6:$N$150,11,),"N/a")</f>
        <v>N/a</v>
      </c>
      <c r="I17" s="134" t="str">
        <f t="shared" ref="I17:I28" si="0">IFERROR(F17*H17,"-")</f>
        <v>-</v>
      </c>
      <c r="J17" s="167"/>
    </row>
    <row r="18" spans="1:12" ht="16.899999999999999">
      <c r="A18" s="967"/>
      <c r="B18" s="973"/>
      <c r="C18" s="175"/>
      <c r="D18" s="130" t="str">
        <f>IFERROR(VLOOKUP(C18,MasterSheet!$B$6:$N$150,2,),"n/a")</f>
        <v>n/a</v>
      </c>
      <c r="E18" s="130" t="str">
        <f>IFERROR(VLOOKUP(C18,MasterSheet!$B$6:$N$150,3,),"n/a")</f>
        <v>n/a</v>
      </c>
      <c r="F18" s="176"/>
      <c r="G18" s="131" t="str">
        <f>IFERROR(VLOOKUP($C$18,MasterSheet!$B$6:$N$150,10,),"n/a")</f>
        <v>n/a</v>
      </c>
      <c r="H18" s="134" t="str">
        <f>IFERROR(VLOOKUP(C18,MasterSheet!$B$6:$N$150,11,),"N/a")</f>
        <v>N/a</v>
      </c>
      <c r="I18" s="134" t="str">
        <f t="shared" si="0"/>
        <v>-</v>
      </c>
      <c r="J18" s="167"/>
    </row>
    <row r="19" spans="1:12" ht="16.899999999999999">
      <c r="A19" s="967"/>
      <c r="B19" s="973"/>
      <c r="C19" s="175"/>
      <c r="D19" s="130" t="str">
        <f>IFERROR(VLOOKUP(C19,MasterSheet!$B$6:$N$150,2,),"n/a")</f>
        <v>n/a</v>
      </c>
      <c r="E19" s="130" t="str">
        <f>IFERROR(VLOOKUP(C19,MasterSheet!$B$6:$N$150,3,),"n/a")</f>
        <v>n/a</v>
      </c>
      <c r="F19" s="176"/>
      <c r="G19" s="131" t="str">
        <f>IFERROR(VLOOKUP($C$16,MasterSheet!$B$6:$N$150,10,),"n/a")</f>
        <v>n/a</v>
      </c>
      <c r="H19" s="134" t="str">
        <f>IFERROR(VLOOKUP(C19,MasterSheet!$B$6:$N$150,11,),"N/a")</f>
        <v>N/a</v>
      </c>
      <c r="I19" s="134" t="str">
        <f t="shared" si="0"/>
        <v>-</v>
      </c>
      <c r="J19" s="167"/>
    </row>
    <row r="20" spans="1:12" ht="16.899999999999999">
      <c r="A20" s="967"/>
      <c r="B20" s="973"/>
      <c r="C20" s="175"/>
      <c r="D20" s="130" t="str">
        <f>IFERROR(VLOOKUP(C20,MasterSheet!$B$6:$N$150,2,),"n/a")</f>
        <v>n/a</v>
      </c>
      <c r="E20" s="130" t="str">
        <f>IFERROR(VLOOKUP(C20,MasterSheet!$B$6:$N$150,3,),"n/a")</f>
        <v>n/a</v>
      </c>
      <c r="F20" s="176"/>
      <c r="G20" s="131" t="str">
        <f>IFERROR(VLOOKUP(C20,MasterSheet!B12:N155,10,),"N/a")</f>
        <v>N/a</v>
      </c>
      <c r="H20" s="134" t="str">
        <f>IFERROR(VLOOKUP(C20,MasterSheet!$B$6:$N$150,11,),"N/a")</f>
        <v>N/a</v>
      </c>
      <c r="I20" s="134" t="str">
        <f t="shared" si="0"/>
        <v>-</v>
      </c>
      <c r="J20" s="167"/>
    </row>
    <row r="21" spans="1:12" ht="16.899999999999999">
      <c r="A21" s="967"/>
      <c r="B21" s="973"/>
      <c r="C21" s="175"/>
      <c r="D21" s="130" t="str">
        <f>IFERROR(VLOOKUP(C21,MasterSheet!$B$6:$N$150,2,),"n/a")</f>
        <v>n/a</v>
      </c>
      <c r="E21" s="130" t="str">
        <f>IFERROR(VLOOKUP(C21,MasterSheet!$B$6:$N$150,3,),"n/a")</f>
        <v>n/a</v>
      </c>
      <c r="F21" s="176"/>
      <c r="G21" s="131" t="str">
        <f>IFERROR(VLOOKUP($C$21,MasterSheet!$B$6:$N$150,10,),"n/a")</f>
        <v>n/a</v>
      </c>
      <c r="H21" s="134" t="str">
        <f>IFERROR(VLOOKUP(C21,MasterSheet!$B$6:$N$150,11,),"N/a")</f>
        <v>N/a</v>
      </c>
      <c r="I21" s="134" t="str">
        <f t="shared" si="0"/>
        <v>-</v>
      </c>
      <c r="J21" s="167"/>
    </row>
    <row r="22" spans="1:12" ht="16.899999999999999">
      <c r="A22" s="967"/>
      <c r="B22" s="973"/>
      <c r="C22" s="175"/>
      <c r="D22" s="130" t="str">
        <f>IFERROR(VLOOKUP(C22,MasterSheet!$B$6:$N$150,2,),"n/a")</f>
        <v>n/a</v>
      </c>
      <c r="E22" s="130" t="str">
        <f>IFERROR(VLOOKUP(C22,MasterSheet!$B$6:$N$150,3,),"n/a")</f>
        <v>n/a</v>
      </c>
      <c r="F22" s="176"/>
      <c r="G22" s="131" t="str">
        <f>IFERROR(VLOOKUP($C$16,MasterSheet!$B$6:$N$150,10,),"n/a")</f>
        <v>n/a</v>
      </c>
      <c r="H22" s="134" t="str">
        <f>IFERROR(VLOOKUP(C22,MasterSheet!$B$6:$N$150,11,),"N/a")</f>
        <v>N/a</v>
      </c>
      <c r="I22" s="134" t="str">
        <f t="shared" si="0"/>
        <v>-</v>
      </c>
      <c r="J22" s="167"/>
    </row>
    <row r="23" spans="1:12" ht="16.899999999999999">
      <c r="A23" s="967"/>
      <c r="B23" s="973"/>
      <c r="C23" s="175"/>
      <c r="D23" s="130" t="str">
        <f>IFERROR(VLOOKUP(C23,MasterSheet!$B$6:$N$150,2,),"n/a")</f>
        <v>n/a</v>
      </c>
      <c r="E23" s="130" t="str">
        <f>IFERROR(VLOOKUP(C23,MasterSheet!$B$6:$N$150,3,),"n/a")</f>
        <v>n/a</v>
      </c>
      <c r="F23" s="176"/>
      <c r="G23" s="131" t="str">
        <f>IFERROR(VLOOKUP(C23,MasterSheet!B15:N158,10,),"N/a")</f>
        <v>N/a</v>
      </c>
      <c r="H23" s="134" t="str">
        <f>IFERROR(VLOOKUP(C23,MasterSheet!$B$6:$N$150,11,),"N/a")</f>
        <v>N/a</v>
      </c>
      <c r="I23" s="134" t="str">
        <f t="shared" si="0"/>
        <v>-</v>
      </c>
      <c r="J23" s="167"/>
    </row>
    <row r="24" spans="1:12" ht="16.899999999999999">
      <c r="A24" s="967"/>
      <c r="B24" s="973"/>
      <c r="C24" s="175"/>
      <c r="D24" s="130" t="str">
        <f>IFERROR(VLOOKUP(C24,MasterSheet!$B$6:$N$150,2,),"n/a")</f>
        <v>n/a</v>
      </c>
      <c r="E24" s="130" t="str">
        <f>IFERROR(VLOOKUP(C24,MasterSheet!$B$6:$N$150,3,),"n/a")</f>
        <v>n/a</v>
      </c>
      <c r="F24" s="176"/>
      <c r="G24" s="131" t="str">
        <f>IFERROR(VLOOKUP($C$24,MasterSheet!$B$6:$N$150,10,),"n/a")</f>
        <v>n/a</v>
      </c>
      <c r="H24" s="134" t="str">
        <f>IFERROR(VLOOKUP(C24,MasterSheet!$B$6:$N$150,11,),"N/a")</f>
        <v>N/a</v>
      </c>
      <c r="I24" s="134" t="str">
        <f t="shared" si="0"/>
        <v>-</v>
      </c>
      <c r="J24" s="167"/>
    </row>
    <row r="25" spans="1:12" ht="16.899999999999999">
      <c r="A25" s="967"/>
      <c r="B25" s="973"/>
      <c r="C25" s="175"/>
      <c r="D25" s="130" t="str">
        <f>IFERROR(VLOOKUP(C25,MasterSheet!$B$6:$N$150,2,),"n/a")</f>
        <v>n/a</v>
      </c>
      <c r="E25" s="130" t="str">
        <f>IFERROR(VLOOKUP(C25,MasterSheet!$B$6:$N$150,3,),"n/a")</f>
        <v>n/a</v>
      </c>
      <c r="F25" s="176"/>
      <c r="G25" s="131" t="str">
        <f>IFERROR(VLOOKUP($C$16,MasterSheet!$B$6:$N$150,10,),"n/a")</f>
        <v>n/a</v>
      </c>
      <c r="H25" s="134" t="str">
        <f>IFERROR(VLOOKUP(C25,MasterSheet!$B$6:$N$150,11,),"N/a")</f>
        <v>N/a</v>
      </c>
      <c r="I25" s="134" t="str">
        <f t="shared" si="0"/>
        <v>-</v>
      </c>
      <c r="J25" s="167"/>
    </row>
    <row r="26" spans="1:12" ht="16.899999999999999">
      <c r="A26" s="967"/>
      <c r="B26" s="973"/>
      <c r="C26" s="175"/>
      <c r="D26" s="130" t="str">
        <f>IFERROR(VLOOKUP(C26,MasterSheet!$B$6:$N$150,2,),"n/a")</f>
        <v>n/a</v>
      </c>
      <c r="E26" s="130" t="str">
        <f>IFERROR(VLOOKUP(C26,MasterSheet!$B$6:$N$150,3,),"n/a")</f>
        <v>n/a</v>
      </c>
      <c r="F26" s="176"/>
      <c r="G26" s="131" t="str">
        <f>IFERROR(VLOOKUP(C26,MasterSheet!B18:N161,10,),"N/a")</f>
        <v>N/a</v>
      </c>
      <c r="H26" s="134" t="str">
        <f>IFERROR(VLOOKUP(C26,MasterSheet!$B$6:$N$150,11,),"N/a")</f>
        <v>N/a</v>
      </c>
      <c r="I26" s="134" t="str">
        <f t="shared" si="0"/>
        <v>-</v>
      </c>
      <c r="J26" s="167"/>
    </row>
    <row r="27" spans="1:12" ht="16.899999999999999">
      <c r="A27" s="967"/>
      <c r="B27" s="973"/>
      <c r="C27" s="175"/>
      <c r="D27" s="130" t="str">
        <f>IFERROR(VLOOKUP(C27,MasterSheet!$B$6:$N$150,2,),"n/a")</f>
        <v>n/a</v>
      </c>
      <c r="E27" s="130" t="str">
        <f>IFERROR(VLOOKUP(C27,MasterSheet!$B$6:$N$150,3,),"n/a")</f>
        <v>n/a</v>
      </c>
      <c r="F27" s="176"/>
      <c r="G27" s="131" t="str">
        <f>IFERROR(VLOOKUP($C$27,MasterSheet!$B$6:$N$150,10,),"n/a")</f>
        <v>n/a</v>
      </c>
      <c r="H27" s="134" t="str">
        <f>IFERROR(VLOOKUP(C27,MasterSheet!$B$6:$N$150,11,),"N/a")</f>
        <v>N/a</v>
      </c>
      <c r="I27" s="134" t="str">
        <f t="shared" si="0"/>
        <v>-</v>
      </c>
      <c r="J27" s="168"/>
      <c r="L27" s="68"/>
    </row>
    <row r="28" spans="1:12" ht="16.899999999999999">
      <c r="A28" s="967"/>
      <c r="B28" s="973"/>
      <c r="C28" s="175"/>
      <c r="D28" s="130" t="str">
        <f>IFERROR(VLOOKUP(C28,MasterSheet!$B$6:$N$150,2,),"n/a")</f>
        <v>n/a</v>
      </c>
      <c r="E28" s="130" t="str">
        <f>IFERROR(VLOOKUP(C28,MasterSheet!$B$6:$N$150,3,),"n/a")</f>
        <v>n/a</v>
      </c>
      <c r="F28" s="176"/>
      <c r="G28" s="131" t="str">
        <f>IFERROR(VLOOKUP($C$16,MasterSheet!$B$6:$N$150,10,),"n/a")</f>
        <v>n/a</v>
      </c>
      <c r="H28" s="134" t="str">
        <f>IFERROR(VLOOKUP(C28,MasterSheet!$B$6:$N$150,11,),"N/a")</f>
        <v>N/a</v>
      </c>
      <c r="I28" s="134" t="str">
        <f t="shared" si="0"/>
        <v>-</v>
      </c>
      <c r="J28" s="169"/>
    </row>
    <row r="29" spans="1:12" ht="16.899999999999999">
      <c r="A29" s="967"/>
      <c r="B29" s="974" t="s">
        <v>622</v>
      </c>
      <c r="C29" s="175"/>
      <c r="D29" s="140" t="e">
        <f>VLOOKUP(C29,CK!$B$8:$L$11,3,)</f>
        <v>#N/A</v>
      </c>
      <c r="E29" s="140" t="e">
        <f>VLOOKUP(C29,CK!$B$8:$L$11,4,)</f>
        <v>#N/A</v>
      </c>
      <c r="F29" s="239"/>
      <c r="G29" s="141" t="e">
        <f>VLOOKUP(C29,CK!$B$8:$L$11,9,)</f>
        <v>#N/A</v>
      </c>
      <c r="H29" s="142" t="e">
        <f>VLOOKUP(C29,CK!$B$8:$L$11,10,)</f>
        <v>#N/A</v>
      </c>
      <c r="I29" s="142" t="str">
        <f>IFERROR(F29*H29,"-")</f>
        <v>-</v>
      </c>
      <c r="J29" s="170"/>
    </row>
    <row r="30" spans="1:12" ht="16.899999999999999">
      <c r="A30" s="967"/>
      <c r="B30" s="974"/>
      <c r="C30" s="175"/>
      <c r="D30" s="140"/>
      <c r="E30" s="140"/>
      <c r="F30" s="176"/>
      <c r="G30" s="141"/>
      <c r="H30" s="142"/>
      <c r="I30" s="142"/>
      <c r="J30" s="170"/>
    </row>
    <row r="31" spans="1:12" ht="16.899999999999999">
      <c r="A31" s="967"/>
      <c r="B31" s="974"/>
      <c r="C31" s="175"/>
      <c r="D31" s="140"/>
      <c r="E31" s="140"/>
      <c r="F31" s="176"/>
      <c r="G31" s="141"/>
      <c r="H31" s="141"/>
      <c r="I31" s="141"/>
      <c r="J31" s="170"/>
    </row>
    <row r="32" spans="1:12" ht="16.899999999999999">
      <c r="A32" s="967"/>
      <c r="B32" s="975" t="s">
        <v>623</v>
      </c>
      <c r="C32" s="175"/>
      <c r="D32" s="145"/>
      <c r="E32" s="145"/>
      <c r="F32" s="176"/>
      <c r="G32" s="147"/>
      <c r="H32" s="147"/>
      <c r="I32" s="147"/>
      <c r="J32" s="171"/>
    </row>
    <row r="33" spans="1:10" ht="16.899999999999999">
      <c r="A33" s="967"/>
      <c r="B33" s="976"/>
      <c r="C33" s="175"/>
      <c r="D33" s="145"/>
      <c r="E33" s="145"/>
      <c r="F33" s="176"/>
      <c r="G33" s="147"/>
      <c r="H33" s="147"/>
      <c r="I33" s="147"/>
      <c r="J33" s="171"/>
    </row>
    <row r="34" spans="1:10" ht="16.899999999999999">
      <c r="A34" s="967"/>
      <c r="B34" s="976"/>
      <c r="C34" s="175"/>
      <c r="D34" s="149"/>
      <c r="E34" s="149"/>
      <c r="F34" s="176"/>
      <c r="G34" s="147"/>
      <c r="H34" s="147"/>
      <c r="I34" s="147"/>
      <c r="J34" s="171"/>
    </row>
    <row r="35" spans="1:10" ht="17.25" thickBot="1">
      <c r="A35" s="968"/>
      <c r="B35" s="977"/>
      <c r="C35" s="241"/>
      <c r="D35" s="155"/>
      <c r="E35" s="154"/>
      <c r="F35" s="242"/>
      <c r="G35" s="152"/>
      <c r="H35" s="152"/>
      <c r="I35" s="152"/>
      <c r="J35" s="172"/>
    </row>
    <row r="36" spans="1:10" ht="17.25" thickBot="1">
      <c r="A36" s="156"/>
      <c r="B36" s="157" t="s">
        <v>614</v>
      </c>
      <c r="C36" s="935" t="s">
        <v>624</v>
      </c>
      <c r="D36" s="935"/>
      <c r="E36" s="339">
        <f>SUM(I14:I31)</f>
        <v>255.80404040404039</v>
      </c>
      <c r="F36" s="936" t="s">
        <v>625</v>
      </c>
      <c r="G36" s="936"/>
      <c r="H36" s="936"/>
      <c r="I36" s="341" t="e">
        <f>COSTING!#REF!</f>
        <v>#REF!</v>
      </c>
      <c r="J36" s="330" t="s">
        <v>790</v>
      </c>
    </row>
    <row r="37" spans="1:10" ht="17.25" thickBot="1">
      <c r="A37" s="156"/>
      <c r="B37" s="157"/>
      <c r="C37" s="158"/>
      <c r="D37" s="159"/>
      <c r="E37" s="159"/>
      <c r="F37" s="940" t="s">
        <v>789</v>
      </c>
      <c r="G37" s="940"/>
      <c r="H37" s="940"/>
      <c r="I37" s="237"/>
      <c r="J37" s="331" t="str">
        <f>IFERROR((I36/I37),"-")</f>
        <v>-</v>
      </c>
    </row>
    <row r="38" spans="1:10" ht="16.149999999999999" thickBot="1">
      <c r="A38" s="70"/>
      <c r="B38" s="97"/>
      <c r="C38" s="97"/>
      <c r="D38" s="97"/>
      <c r="E38" s="97"/>
      <c r="F38" s="98"/>
      <c r="G38" s="97"/>
      <c r="H38" s="97"/>
      <c r="I38" s="97"/>
      <c r="J38" s="127" t="s">
        <v>605</v>
      </c>
    </row>
    <row r="39" spans="1:10" ht="19.149999999999999" hidden="1">
      <c r="A39" s="941" t="s">
        <v>576</v>
      </c>
      <c r="B39" s="942"/>
      <c r="C39" s="942"/>
      <c r="D39" s="942"/>
      <c r="E39" s="942"/>
      <c r="F39" s="942"/>
      <c r="G39" s="942"/>
      <c r="H39" s="942"/>
      <c r="I39" s="942"/>
      <c r="J39" s="943"/>
    </row>
    <row r="40" spans="1:10" ht="16.899999999999999" hidden="1">
      <c r="A40" s="944" t="s">
        <v>577</v>
      </c>
      <c r="B40" s="945"/>
      <c r="C40" s="945"/>
      <c r="D40" s="946"/>
      <c r="E40" s="947" t="s">
        <v>578</v>
      </c>
      <c r="F40" s="947"/>
      <c r="G40" s="947"/>
      <c r="H40" s="947"/>
      <c r="I40" s="947"/>
      <c r="J40" s="948"/>
    </row>
    <row r="41" spans="1:10" ht="16.899999999999999" hidden="1">
      <c r="A41" s="73"/>
      <c r="B41" s="74"/>
      <c r="C41" s="74"/>
      <c r="D41" s="75"/>
      <c r="E41" s="76" t="s">
        <v>579</v>
      </c>
      <c r="F41" s="76"/>
      <c r="G41" s="67"/>
      <c r="H41" s="67"/>
      <c r="I41" s="67"/>
      <c r="J41" s="77"/>
    </row>
    <row r="42" spans="1:10" ht="15.75" hidden="1">
      <c r="A42" s="78"/>
      <c r="B42" s="79"/>
      <c r="C42" s="79"/>
      <c r="D42" s="80"/>
      <c r="E42" s="81" t="s">
        <v>580</v>
      </c>
      <c r="F42" s="82"/>
      <c r="G42" s="82"/>
      <c r="H42" s="82"/>
      <c r="I42" s="82"/>
      <c r="J42" s="83"/>
    </row>
    <row r="43" spans="1:10" ht="15.75" hidden="1">
      <c r="A43" s="78"/>
      <c r="B43" s="79"/>
      <c r="C43" s="79"/>
      <c r="D43" s="80"/>
      <c r="E43" s="76"/>
      <c r="F43" s="84"/>
      <c r="G43" s="79"/>
      <c r="H43" s="79"/>
      <c r="I43" s="79"/>
      <c r="J43" s="83"/>
    </row>
    <row r="44" spans="1:10" ht="15.75" hidden="1">
      <c r="A44" s="78"/>
      <c r="B44" s="79"/>
      <c r="C44" s="79"/>
      <c r="D44" s="80"/>
      <c r="E44" s="76" t="s">
        <v>581</v>
      </c>
      <c r="F44" s="82"/>
      <c r="G44" s="82"/>
      <c r="H44" s="82"/>
      <c r="I44" s="82"/>
      <c r="J44" s="83"/>
    </row>
    <row r="45" spans="1:10" ht="15.75" hidden="1">
      <c r="A45" s="78"/>
      <c r="B45" s="79"/>
      <c r="C45" s="79"/>
      <c r="D45" s="80"/>
      <c r="E45" s="76" t="s">
        <v>582</v>
      </c>
      <c r="F45" s="84"/>
      <c r="G45" s="79"/>
      <c r="H45" s="79"/>
      <c r="I45" s="79"/>
      <c r="J45" s="83"/>
    </row>
    <row r="46" spans="1:10" ht="15.75" hidden="1">
      <c r="A46" s="78"/>
      <c r="B46" s="79"/>
      <c r="C46" s="79"/>
      <c r="D46" s="80"/>
      <c r="E46" s="76" t="s">
        <v>583</v>
      </c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/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584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585</v>
      </c>
      <c r="F49" s="84"/>
      <c r="G49" s="79"/>
      <c r="H49" s="79"/>
      <c r="I49" s="79"/>
      <c r="J49" s="83"/>
    </row>
    <row r="50" spans="1:10" ht="16.899999999999999" hidden="1">
      <c r="A50" s="937"/>
      <c r="B50" s="938"/>
      <c r="C50" s="938"/>
      <c r="D50" s="939"/>
      <c r="E50" s="76" t="s">
        <v>586</v>
      </c>
      <c r="F50" s="86"/>
      <c r="G50" s="79"/>
      <c r="H50" s="79"/>
      <c r="I50" s="79"/>
      <c r="J50" s="83"/>
    </row>
    <row r="51" spans="1:10" ht="16.899999999999999" hidden="1">
      <c r="A51" s="73"/>
      <c r="B51" s="74"/>
      <c r="C51" s="74"/>
      <c r="D51" s="85"/>
      <c r="E51" s="76" t="s">
        <v>587</v>
      </c>
      <c r="F51" s="86"/>
      <c r="G51" s="79"/>
      <c r="H51" s="79"/>
      <c r="I51" s="79"/>
      <c r="J51" s="83"/>
    </row>
    <row r="52" spans="1:10" ht="16.899999999999999" hidden="1">
      <c r="A52" s="937"/>
      <c r="B52" s="938"/>
      <c r="C52" s="938"/>
      <c r="D52" s="939"/>
      <c r="E52" s="76" t="s">
        <v>588</v>
      </c>
      <c r="F52" s="84"/>
      <c r="G52" s="79"/>
      <c r="H52" s="79"/>
      <c r="I52" s="79"/>
      <c r="J52" s="87"/>
    </row>
    <row r="53" spans="1:10" ht="16.899999999999999" hidden="1">
      <c r="A53" s="73"/>
      <c r="B53" s="74"/>
      <c r="C53" s="74"/>
      <c r="D53" s="85"/>
      <c r="E53" s="76" t="s">
        <v>589</v>
      </c>
      <c r="F53" s="84"/>
      <c r="G53" s="79"/>
      <c r="H53" s="79"/>
      <c r="I53" s="79"/>
      <c r="J53" s="87"/>
    </row>
    <row r="54" spans="1:10" ht="16.899999999999999" hidden="1">
      <c r="A54" s="73"/>
      <c r="B54" s="74"/>
      <c r="C54" s="74"/>
      <c r="D54" s="85"/>
      <c r="E54" s="76" t="s">
        <v>590</v>
      </c>
      <c r="F54" s="84"/>
      <c r="G54" s="79"/>
      <c r="H54" s="79"/>
      <c r="I54" s="79"/>
      <c r="J54" s="87"/>
    </row>
    <row r="55" spans="1:10" ht="16.899999999999999" hidden="1">
      <c r="A55" s="73"/>
      <c r="B55" s="74"/>
      <c r="C55" s="74"/>
      <c r="D55" s="85"/>
      <c r="E55" s="88"/>
      <c r="F55" s="84"/>
      <c r="G55" s="79"/>
      <c r="H55" s="79"/>
      <c r="I55" s="79"/>
      <c r="J55" s="87"/>
    </row>
    <row r="56" spans="1:10" ht="16.899999999999999" hidden="1">
      <c r="A56" s="73"/>
      <c r="B56" s="74"/>
      <c r="C56" s="74"/>
      <c r="D56" s="85"/>
      <c r="E56" s="76" t="s">
        <v>591</v>
      </c>
      <c r="F56" s="84"/>
      <c r="G56" s="79"/>
      <c r="H56" s="79"/>
      <c r="I56" s="79"/>
      <c r="J56" s="87"/>
    </row>
    <row r="57" spans="1:10" ht="16.899999999999999" hidden="1">
      <c r="A57" s="78"/>
      <c r="B57" s="79"/>
      <c r="C57" s="79"/>
      <c r="D57" s="80"/>
      <c r="E57" s="76" t="s">
        <v>592</v>
      </c>
      <c r="F57" s="84"/>
      <c r="G57" s="79"/>
      <c r="H57" s="79"/>
      <c r="I57" s="79"/>
      <c r="J57" s="87"/>
    </row>
    <row r="58" spans="1:10" hidden="1">
      <c r="A58" s="78"/>
      <c r="B58" s="79"/>
      <c r="C58" s="79"/>
      <c r="D58" s="80"/>
      <c r="E58" s="69"/>
      <c r="F58" s="84"/>
      <c r="G58" s="79"/>
      <c r="H58" s="79"/>
      <c r="I58" s="79"/>
      <c r="J58" s="83"/>
    </row>
    <row r="59" spans="1:10" ht="15.75" hidden="1">
      <c r="A59" s="78"/>
      <c r="B59" s="79"/>
      <c r="C59" s="79"/>
      <c r="D59" s="80"/>
      <c r="E59" s="76" t="s">
        <v>593</v>
      </c>
      <c r="F59" s="84"/>
      <c r="G59" s="79"/>
      <c r="H59" s="79"/>
      <c r="I59" s="79"/>
      <c r="J59" s="83"/>
    </row>
    <row r="60" spans="1:10" ht="15.75" hidden="1">
      <c r="A60" s="78"/>
      <c r="B60" s="79"/>
      <c r="C60" s="79"/>
      <c r="D60" s="80"/>
      <c r="E60" s="76" t="s">
        <v>594</v>
      </c>
      <c r="F60" s="84"/>
      <c r="G60" s="79"/>
      <c r="H60" s="79"/>
      <c r="I60" s="79"/>
      <c r="J60" s="83"/>
    </row>
    <row r="61" spans="1:10" ht="15.75" hidden="1">
      <c r="A61" s="78"/>
      <c r="B61" s="79"/>
      <c r="C61" s="79"/>
      <c r="D61" s="80"/>
      <c r="E61" s="76" t="s">
        <v>595</v>
      </c>
      <c r="F61" s="88"/>
      <c r="G61" s="88"/>
      <c r="H61" s="88"/>
      <c r="I61" s="88"/>
      <c r="J61" s="83"/>
    </row>
    <row r="62" spans="1:10" ht="15.75" hidden="1">
      <c r="A62" s="78"/>
      <c r="B62" s="79"/>
      <c r="C62" s="79"/>
      <c r="D62" s="80"/>
      <c r="E62" s="76" t="s">
        <v>596</v>
      </c>
      <c r="F62" s="88"/>
      <c r="G62" s="88"/>
      <c r="H62" s="88"/>
      <c r="I62" s="88"/>
      <c r="J62" s="83"/>
    </row>
    <row r="63" spans="1:10" ht="16.899999999999999" hidden="1">
      <c r="A63" s="937"/>
      <c r="B63" s="938"/>
      <c r="C63" s="938"/>
      <c r="D63" s="939"/>
      <c r="E63" s="76" t="s">
        <v>597</v>
      </c>
      <c r="F63" s="89"/>
      <c r="G63" s="89"/>
      <c r="H63" s="89"/>
      <c r="I63" s="89"/>
      <c r="J63" s="83"/>
    </row>
    <row r="64" spans="1:10" ht="16.899999999999999" hidden="1">
      <c r="A64" s="73"/>
      <c r="B64" s="74"/>
      <c r="C64" s="74"/>
      <c r="D64" s="85"/>
      <c r="E64" s="76" t="s">
        <v>598</v>
      </c>
      <c r="F64" s="89"/>
      <c r="G64" s="89"/>
      <c r="H64" s="89"/>
      <c r="I64" s="89"/>
      <c r="J64" s="83"/>
    </row>
    <row r="65" spans="1:10" ht="16.899999999999999" hidden="1">
      <c r="A65" s="937"/>
      <c r="B65" s="938"/>
      <c r="C65" s="938"/>
      <c r="D65" s="939"/>
      <c r="E65" s="69"/>
      <c r="F65" s="89"/>
      <c r="G65" s="89"/>
      <c r="H65" s="89"/>
      <c r="I65" s="89"/>
      <c r="J65" s="83"/>
    </row>
    <row r="66" spans="1:10" ht="15.75" hidden="1">
      <c r="A66" s="78"/>
      <c r="B66" s="79"/>
      <c r="C66" s="79"/>
      <c r="D66" s="80"/>
      <c r="E66" s="69"/>
      <c r="F66" s="88"/>
      <c r="G66" s="88"/>
      <c r="H66" s="88"/>
      <c r="I66" s="88"/>
      <c r="J66" s="83"/>
    </row>
    <row r="67" spans="1:10" ht="16.149999999999999" hidden="1" thickBot="1">
      <c r="A67" s="90"/>
      <c r="B67" s="91"/>
      <c r="C67" s="91"/>
      <c r="D67" s="92"/>
      <c r="E67" s="93"/>
      <c r="F67" s="94"/>
      <c r="G67" s="94"/>
      <c r="H67" s="94"/>
      <c r="I67" s="94"/>
      <c r="J67" s="95"/>
    </row>
    <row r="68" spans="1:10" ht="16.149999999999999" hidden="1" thickBot="1">
      <c r="A68" s="70"/>
      <c r="B68" s="71"/>
      <c r="C68" s="71"/>
      <c r="D68" s="71"/>
      <c r="E68" s="71"/>
      <c r="F68" s="72"/>
      <c r="G68" s="71"/>
      <c r="H68" s="71"/>
      <c r="I68" s="71"/>
      <c r="J68" s="126" t="s">
        <v>605</v>
      </c>
    </row>
    <row r="69" spans="1:10" ht="19.149999999999999" hidden="1">
      <c r="A69" s="949" t="s">
        <v>576</v>
      </c>
      <c r="B69" s="950"/>
      <c r="C69" s="950"/>
      <c r="D69" s="950"/>
      <c r="E69" s="950"/>
      <c r="F69" s="950"/>
      <c r="G69" s="950"/>
      <c r="H69" s="950"/>
      <c r="I69" s="950"/>
      <c r="J69" s="951"/>
    </row>
    <row r="70" spans="1:10" ht="16.899999999999999" hidden="1">
      <c r="A70" s="944" t="s">
        <v>577</v>
      </c>
      <c r="B70" s="945"/>
      <c r="C70" s="945"/>
      <c r="D70" s="946"/>
      <c r="E70" s="945" t="s">
        <v>578</v>
      </c>
      <c r="F70" s="945"/>
      <c r="G70" s="945"/>
      <c r="H70" s="945"/>
      <c r="I70" s="945"/>
      <c r="J70" s="952"/>
    </row>
    <row r="71" spans="1:10" ht="16.899999999999999" hidden="1">
      <c r="A71" s="73"/>
      <c r="B71" s="74"/>
      <c r="C71" s="74"/>
      <c r="D71" s="75"/>
      <c r="E71" s="76" t="s">
        <v>599</v>
      </c>
      <c r="F71" s="76"/>
      <c r="G71" s="76"/>
      <c r="H71" s="67"/>
      <c r="I71" s="67"/>
      <c r="J71" s="77"/>
    </row>
    <row r="72" spans="1:10" ht="15.75" hidden="1">
      <c r="A72" s="78"/>
      <c r="B72" s="79"/>
      <c r="C72" s="79"/>
      <c r="D72" s="80"/>
      <c r="E72" s="76" t="s">
        <v>600</v>
      </c>
      <c r="F72" s="82"/>
      <c r="G72" s="82"/>
      <c r="H72" s="82"/>
      <c r="I72" s="82"/>
      <c r="J72" s="83"/>
    </row>
    <row r="73" spans="1:10" ht="15.75" hidden="1">
      <c r="A73" s="78"/>
      <c r="B73" s="79"/>
      <c r="C73" s="79"/>
      <c r="D73" s="80"/>
      <c r="E73" s="76" t="s">
        <v>601</v>
      </c>
      <c r="F73" s="84"/>
      <c r="G73" s="79"/>
      <c r="H73" s="79"/>
      <c r="I73" s="79"/>
      <c r="J73" s="83"/>
    </row>
    <row r="74" spans="1:10" ht="15.75" hidden="1">
      <c r="A74" s="78"/>
      <c r="B74" s="79"/>
      <c r="C74" s="79"/>
      <c r="D74" s="80"/>
      <c r="E74" s="76" t="s">
        <v>602</v>
      </c>
      <c r="F74" s="82"/>
      <c r="G74" s="82"/>
      <c r="H74" s="82"/>
      <c r="I74" s="82"/>
      <c r="J74" s="83"/>
    </row>
    <row r="75" spans="1:10" ht="15.75" hidden="1">
      <c r="A75" s="78"/>
      <c r="B75" s="79"/>
      <c r="C75" s="79"/>
      <c r="D75" s="80"/>
      <c r="E75" s="76" t="s">
        <v>603</v>
      </c>
      <c r="F75" s="84"/>
      <c r="G75" s="79"/>
      <c r="H75" s="79"/>
      <c r="I75" s="79"/>
      <c r="J75" s="83"/>
    </row>
    <row r="76" spans="1:10" hidden="1">
      <c r="A76" s="78"/>
      <c r="B76" s="79"/>
      <c r="C76" s="79"/>
      <c r="D76" s="80"/>
      <c r="E76" s="69"/>
      <c r="F76" s="84"/>
      <c r="G76" s="79"/>
      <c r="H76" s="79"/>
      <c r="I76" s="79"/>
      <c r="J76" s="83"/>
    </row>
    <row r="77" spans="1:10" ht="15.75" hidden="1">
      <c r="A77" s="78"/>
      <c r="B77" s="79"/>
      <c r="C77" s="79"/>
      <c r="D77" s="80"/>
      <c r="E77" s="76" t="s">
        <v>604</v>
      </c>
      <c r="F77" s="84"/>
      <c r="G77" s="79"/>
      <c r="H77" s="79"/>
      <c r="I77" s="79"/>
      <c r="J77" s="83"/>
    </row>
    <row r="78" spans="1:10" ht="15.75" hidden="1">
      <c r="A78" s="78"/>
      <c r="B78" s="79"/>
      <c r="C78" s="79"/>
      <c r="D78" s="80"/>
      <c r="E78" s="76"/>
      <c r="F78" s="84"/>
      <c r="G78" s="79"/>
      <c r="H78" s="79"/>
      <c r="I78" s="79"/>
      <c r="J78" s="83"/>
    </row>
    <row r="79" spans="1:10" ht="15.75" hidden="1">
      <c r="A79" s="78"/>
      <c r="B79" s="79"/>
      <c r="C79" s="79"/>
      <c r="D79" s="80"/>
      <c r="E79" s="76"/>
      <c r="F79" s="84"/>
      <c r="G79" s="79"/>
      <c r="H79" s="79"/>
      <c r="I79" s="79"/>
      <c r="J79" s="83"/>
    </row>
    <row r="80" spans="1:10" ht="16.899999999999999" hidden="1">
      <c r="A80" s="937"/>
      <c r="B80" s="938"/>
      <c r="C80" s="938"/>
      <c r="D80" s="939"/>
      <c r="E80" s="76"/>
      <c r="F80" s="89"/>
      <c r="G80" s="89"/>
      <c r="H80" s="89"/>
      <c r="I80" s="89"/>
      <c r="J80" s="83"/>
    </row>
    <row r="81" spans="1:10" ht="16.899999999999999" hidden="1">
      <c r="A81" s="73"/>
      <c r="B81" s="74"/>
      <c r="C81" s="74"/>
      <c r="D81" s="85"/>
      <c r="E81" s="96"/>
      <c r="F81" s="89"/>
      <c r="G81" s="89"/>
      <c r="H81" s="89"/>
      <c r="I81" s="89"/>
      <c r="J81" s="83"/>
    </row>
    <row r="82" spans="1:10" ht="15.75" hidden="1">
      <c r="A82" s="78"/>
      <c r="B82" s="79"/>
      <c r="C82" s="79"/>
      <c r="D82" s="80"/>
      <c r="E82" s="69"/>
      <c r="F82" s="88"/>
      <c r="G82" s="88"/>
      <c r="H82" s="88"/>
      <c r="I82" s="88"/>
      <c r="J82" s="83"/>
    </row>
    <row r="83" spans="1:10" ht="16.149999999999999" hidden="1" thickBot="1">
      <c r="A83" s="90"/>
      <c r="B83" s="91"/>
      <c r="C83" s="91"/>
      <c r="D83" s="92"/>
      <c r="E83" s="93"/>
      <c r="F83" s="94"/>
      <c r="G83" s="94"/>
      <c r="H83" s="94"/>
      <c r="I83" s="94"/>
      <c r="J83" s="95"/>
    </row>
    <row r="84" spans="1:10" ht="16.149999999999999" hidden="1" thickBot="1">
      <c r="A84" s="70"/>
      <c r="B84" s="71"/>
      <c r="C84" s="71"/>
      <c r="D84" s="71"/>
      <c r="E84" s="71"/>
      <c r="F84" s="72"/>
      <c r="G84" s="71"/>
      <c r="H84" s="71"/>
      <c r="I84" s="71"/>
      <c r="J84" s="126" t="s">
        <v>605</v>
      </c>
    </row>
  </sheetData>
  <mergeCells count="30">
    <mergeCell ref="C36:D36"/>
    <mergeCell ref="F36:H36"/>
    <mergeCell ref="A80:D80"/>
    <mergeCell ref="F37:H37"/>
    <mergeCell ref="A39:J39"/>
    <mergeCell ref="A40:D40"/>
    <mergeCell ref="E40:J40"/>
    <mergeCell ref="A50:D50"/>
    <mergeCell ref="A52:D52"/>
    <mergeCell ref="A63:D63"/>
    <mergeCell ref="A65:D65"/>
    <mergeCell ref="A69:J69"/>
    <mergeCell ref="A70:D70"/>
    <mergeCell ref="E70:J70"/>
    <mergeCell ref="A1:J1"/>
    <mergeCell ref="A3:A11"/>
    <mergeCell ref="B3:J11"/>
    <mergeCell ref="A12:A35"/>
    <mergeCell ref="B12:B13"/>
    <mergeCell ref="C12:C13"/>
    <mergeCell ref="D12:E12"/>
    <mergeCell ref="F12:F13"/>
    <mergeCell ref="G12:G13"/>
    <mergeCell ref="H12:H13"/>
    <mergeCell ref="I12:I13"/>
    <mergeCell ref="J12:J13"/>
    <mergeCell ref="B14:B28"/>
    <mergeCell ref="B29:B31"/>
    <mergeCell ref="B32:B35"/>
    <mergeCell ref="B2:J2"/>
  </mergeCells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9E280-9CDA-45D4-A8D1-1C6491745957}">
  <sheetPr>
    <tabColor rgb="FFFF0000"/>
  </sheetPr>
  <dimension ref="A1:J72"/>
  <sheetViews>
    <sheetView showGridLines="0" topLeftCell="A2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1133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/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>
        <v>60</v>
      </c>
      <c r="G14" s="131" t="str">
        <f>IFERROR(VLOOKUP(C14,MasterSheet!B6:N150,10,),"N/a")</f>
        <v>N/a</v>
      </c>
      <c r="H14" s="323" t="str">
        <f>IFERROR(VLOOKUP(C14,MasterSheet!$B$6:$N$150,11,),"N/a")</f>
        <v>N/a</v>
      </c>
      <c r="I14" s="323" t="str">
        <f>IFERROR(F14*H14,"-")</f>
        <v>-</v>
      </c>
      <c r="J14" s="166"/>
    </row>
    <row r="15" spans="1:10" ht="16.5" customHeight="1">
      <c r="A15" s="967"/>
      <c r="B15" s="973"/>
      <c r="C15" s="175"/>
      <c r="D15" s="130" t="str">
        <f>IFERROR(VLOOKUP(C15,MasterSheet!$B$6:$N$150,2,),"n/a")</f>
        <v>n/a</v>
      </c>
      <c r="E15" s="130" t="str">
        <f>IFERROR(VLOOKUP(C15,MasterSheet!$B$6:$N$150,3,),"n/a")</f>
        <v>n/a</v>
      </c>
      <c r="F15" s="176">
        <v>100</v>
      </c>
      <c r="G15" s="131" t="str">
        <f>IFERROR(VLOOKUP($C$15,MasterSheet!$B$6:$N$150,10,),"n/a")</f>
        <v>n/a</v>
      </c>
      <c r="H15" s="323" t="str">
        <f>IFERROR(VLOOKUP(C15,MasterSheet!$B$6:$N$150,11,),"N/a")</f>
        <v>N/a</v>
      </c>
      <c r="I15" s="323" t="str">
        <f>IFERROR(F15*H15,"-")</f>
        <v>-</v>
      </c>
      <c r="J15" s="167"/>
    </row>
    <row r="16" spans="1:10" ht="16.899999999999999">
      <c r="A16" s="967"/>
      <c r="B16" s="973"/>
      <c r="C16" s="175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176">
        <v>44</v>
      </c>
      <c r="G16" s="131" t="str">
        <f>IFERROR(VLOOKUP($C$16,MasterSheet!$B$6:$N$150,10,),"n/a")</f>
        <v>n/a</v>
      </c>
      <c r="H16" s="323" t="str">
        <f>IFERROR(VLOOKUP(C16,MasterSheet!$B$6:$N$150,11,),"N/a")</f>
        <v>N/a</v>
      </c>
      <c r="I16" s="323" t="str">
        <f>IFERROR(F16*H16,"-")</f>
        <v>-</v>
      </c>
      <c r="J16" s="167"/>
    </row>
    <row r="17" spans="1:10" ht="16.899999999999999">
      <c r="A17" s="967"/>
      <c r="B17" s="974" t="s">
        <v>622</v>
      </c>
      <c r="C17" s="175"/>
      <c r="D17" s="140" t="e">
        <f>VLOOKUP(C17,CK!$B$8:$L$83,3,)</f>
        <v>#N/A</v>
      </c>
      <c r="E17" s="140" t="e">
        <f>VLOOKUP(C17,CK!$B$8:$L$83,4,)</f>
        <v>#N/A</v>
      </c>
      <c r="F17" s="245"/>
      <c r="G17" s="141" t="e">
        <f>VLOOKUP(C17,CK!$B$8:$L$83,9,)</f>
        <v>#N/A</v>
      </c>
      <c r="H17" s="324" t="e">
        <f>VLOOKUP(C17,CK!$B$8:$L$83,10,)</f>
        <v>#N/A</v>
      </c>
      <c r="I17" s="324" t="str">
        <f>IFERROR(F17*H17,"-")</f>
        <v>-</v>
      </c>
      <c r="J17" s="170"/>
    </row>
    <row r="18" spans="1:10" ht="16.899999999999999">
      <c r="A18" s="967"/>
      <c r="B18" s="974"/>
      <c r="C18" s="175"/>
      <c r="D18" s="140"/>
      <c r="E18" s="140"/>
      <c r="F18" s="176"/>
      <c r="G18" s="141"/>
      <c r="H18" s="324"/>
      <c r="I18" s="324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16.899999999999999">
      <c r="A20" s="967"/>
      <c r="B20" s="975" t="s">
        <v>623</v>
      </c>
      <c r="C20" s="175"/>
      <c r="D20" s="145" t="str">
        <f>IFERROR(VLOOKUP(C20,MasterSheet!$B$6:$N$826,2,),"n/a")</f>
        <v>n/a</v>
      </c>
      <c r="E20" s="145" t="str">
        <f>IFERROR(VLOOKUP(C20,MasterSheet!$B$6:$N$826,3,),"n/a")</f>
        <v>n/a</v>
      </c>
      <c r="F20" s="176">
        <v>1</v>
      </c>
      <c r="G20" s="147" t="str">
        <f>IFERROR(VLOOKUP(C20,MasterSheet!$B$6:$N$826,10,),"n/a")</f>
        <v>n/a</v>
      </c>
      <c r="H20" s="325" t="str">
        <f>IFERROR(VLOOKUP(C20,MasterSheet!$B$6:$N$826,11,),"n/a")</f>
        <v>n/a</v>
      </c>
      <c r="I20" s="323" t="str">
        <f>IFERROR(F20*H20,"-")</f>
        <v>-</v>
      </c>
      <c r="J20" s="171"/>
    </row>
    <row r="21" spans="1:10" ht="16.899999999999999">
      <c r="A21" s="967"/>
      <c r="B21" s="976"/>
      <c r="C21" s="175"/>
      <c r="D21" s="145" t="str">
        <f>IFERROR(VLOOKUP(C21,MasterSheet!$B$6:$N$826,2,),"n/a")</f>
        <v>n/a</v>
      </c>
      <c r="E21" s="145" t="str">
        <f>IFERROR(VLOOKUP(C21,MasterSheet!$B$6:$N$826,3,),"n/a")</f>
        <v>n/a</v>
      </c>
      <c r="F21" s="176">
        <v>1</v>
      </c>
      <c r="G21" s="147" t="str">
        <f>IFERROR(VLOOKUP(C21,MasterSheet!$B$6:$N$826,10,),"n/a")</f>
        <v>n/a</v>
      </c>
      <c r="H21" s="325" t="str">
        <f>IFERROR(VLOOKUP(C21,MasterSheet!$B$6:$N$826,11,),"n/a")</f>
        <v>n/a</v>
      </c>
      <c r="I21" s="323" t="str">
        <f>IFERROR(F21*H21,"-")</f>
        <v>-</v>
      </c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325"/>
      <c r="I22" s="325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342"/>
      <c r="I23" s="34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41">
        <f>SUM(I14:I19)</f>
        <v>0</v>
      </c>
      <c r="F24" s="988" t="s">
        <v>625</v>
      </c>
      <c r="G24" s="988"/>
      <c r="H24" s="988"/>
      <c r="I24" s="341">
        <f>SUM(I14:I23)</f>
        <v>0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237" t="e">
        <f>COSTING!#REF!</f>
        <v>#REF!</v>
      </c>
      <c r="J25" s="331" t="str">
        <f>IFERROR((I24/I25),"-")</f>
        <v>-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B20:B23"/>
    <mergeCell ref="A1:J1"/>
    <mergeCell ref="B2:J2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  <mergeCell ref="C24:D24"/>
    <mergeCell ref="F24:H24"/>
    <mergeCell ref="F25:H25"/>
    <mergeCell ref="A27:J27"/>
    <mergeCell ref="A28:D28"/>
    <mergeCell ref="E28:J28"/>
    <mergeCell ref="A68:D68"/>
    <mergeCell ref="A38:D38"/>
    <mergeCell ref="A40:D40"/>
    <mergeCell ref="A51:D51"/>
    <mergeCell ref="A53:D53"/>
    <mergeCell ref="A57:J57"/>
    <mergeCell ref="A58:D58"/>
    <mergeCell ref="E58:J58"/>
  </mergeCells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FDD81-8831-4699-9184-3242921EA630}">
  <sheetPr codeName="Sheet171">
    <tabColor rgb="FFFF0000"/>
  </sheetPr>
  <dimension ref="A1:J76"/>
  <sheetViews>
    <sheetView showGridLines="0" topLeftCell="A11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1138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239"/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239"/>
      <c r="G14" s="131" t="str">
        <f>IFERROR(VLOOKUP(C14,MasterSheet!B6:N150,10,),"N/a")</f>
        <v>N/a</v>
      </c>
      <c r="H14" s="323" t="str">
        <f>IFERROR(VLOOKUP(C14,MasterSheet!$B$6:$N$150,11,),"N/a")</f>
        <v>N/a</v>
      </c>
      <c r="I14" s="323" t="str">
        <f t="shared" ref="I14:I19" si="0">IFERROR(F14*H14,"-")</f>
        <v>-</v>
      </c>
      <c r="J14" s="166"/>
    </row>
    <row r="15" spans="1:10" ht="16.5" customHeight="1">
      <c r="A15" s="967"/>
      <c r="B15" s="973"/>
      <c r="C15" s="239"/>
      <c r="D15" s="130" t="str">
        <f>IFERROR(VLOOKUP(C15,MasterSheet!$B$6:$N$150,2,),"n/a")</f>
        <v>n/a</v>
      </c>
      <c r="E15" s="130" t="str">
        <f>IFERROR(VLOOKUP(C15,MasterSheet!$B$6:$N$150,3,),"n/a")</f>
        <v>n/a</v>
      </c>
      <c r="F15" s="239"/>
      <c r="G15" s="131" t="str">
        <f>IFERROR(VLOOKUP($C$15,MasterSheet!$B$6:$N$150,10,),"n/a")</f>
        <v>n/a</v>
      </c>
      <c r="H15" s="323" t="str">
        <f>IFERROR(VLOOKUP(C15,MasterSheet!$B$6:$N$150,11,),"N/a")</f>
        <v>N/a</v>
      </c>
      <c r="I15" s="323" t="str">
        <f t="shared" si="0"/>
        <v>-</v>
      </c>
      <c r="J15" s="167"/>
    </row>
    <row r="16" spans="1:10" ht="16.899999999999999">
      <c r="A16" s="967"/>
      <c r="B16" s="973"/>
      <c r="C16" s="239"/>
      <c r="D16" s="130" t="str">
        <f>IFERROR(VLOOKUP(C16,MasterSheet!$B$6:$N$150,2,),"n/a")</f>
        <v>n/a</v>
      </c>
      <c r="E16" s="130" t="str">
        <f>IFERROR(VLOOKUP(C16,MasterSheet!$B$6:$N$150,3,),"n/a")</f>
        <v>n/a</v>
      </c>
      <c r="F16" s="239"/>
      <c r="G16" s="131" t="str">
        <f>IFERROR(VLOOKUP($C$16,MasterSheet!$B$6:$N$150,10,),"n/a")</f>
        <v>n/a</v>
      </c>
      <c r="H16" s="323" t="str">
        <f>IFERROR(VLOOKUP(C16,MasterSheet!$B$6:$N$150,11,),"N/a")</f>
        <v>N/a</v>
      </c>
      <c r="I16" s="323" t="str">
        <f t="shared" si="0"/>
        <v>-</v>
      </c>
      <c r="J16" s="167"/>
    </row>
    <row r="17" spans="1:10" ht="16.899999999999999">
      <c r="A17" s="967"/>
      <c r="B17" s="973"/>
      <c r="C17" s="239"/>
      <c r="D17" s="130" t="str">
        <f>IFERROR(VLOOKUP(C17,MasterSheet!$B$6:$N$150,2,),"n/a")</f>
        <v>n/a</v>
      </c>
      <c r="E17" s="130" t="str">
        <f>IFERROR(VLOOKUP(C17,MasterSheet!$B$6:$N$150,3,),"n/a")</f>
        <v>n/a</v>
      </c>
      <c r="F17" s="239"/>
      <c r="G17" s="131" t="str">
        <f>IFERROR(VLOOKUP(C17,MasterSheet!B9:N153,10,),"N/a")</f>
        <v>N/a</v>
      </c>
      <c r="H17" s="323" t="str">
        <f>IFERROR(VLOOKUP(C17,MasterSheet!$B$6:$N$150,11,),"N/a")</f>
        <v>N/a</v>
      </c>
      <c r="I17" s="323" t="str">
        <f t="shared" si="0"/>
        <v>-</v>
      </c>
      <c r="J17" s="167"/>
    </row>
    <row r="18" spans="1:10" ht="16.899999999999999">
      <c r="A18" s="967"/>
      <c r="B18" s="973"/>
      <c r="C18" s="239"/>
      <c r="D18" s="130" t="str">
        <f>IFERROR(VLOOKUP(C18,MasterSheet!$B$6:$N$150,2,),"n/a")</f>
        <v>n/a</v>
      </c>
      <c r="E18" s="130" t="str">
        <f>IFERROR(VLOOKUP(C18,MasterSheet!$B$6:$N$150,3,),"n/a")</f>
        <v>n/a</v>
      </c>
      <c r="F18" s="239"/>
      <c r="G18" s="131" t="str">
        <f>IFERROR(VLOOKUP($C$16,MasterSheet!$B$6:$N$150,10,),"n/a")</f>
        <v>n/a</v>
      </c>
      <c r="H18" s="323" t="str">
        <f>IFERROR(VLOOKUP(C18,MasterSheet!$B$6:$N$150,11,),"N/a")</f>
        <v>N/a</v>
      </c>
      <c r="I18" s="323" t="str">
        <f t="shared" si="0"/>
        <v>-</v>
      </c>
      <c r="J18" s="169"/>
    </row>
    <row r="19" spans="1:10" ht="16.899999999999999">
      <c r="A19" s="967"/>
      <c r="B19" s="433"/>
      <c r="C19" s="239"/>
      <c r="D19" s="130" t="str">
        <f>IFERROR(VLOOKUP(C19,MasterSheet!$B$6:$N$150,2,),"n/a")</f>
        <v>n/a</v>
      </c>
      <c r="E19" s="130" t="str">
        <f>IFERROR(VLOOKUP(C19,MasterSheet!$B$6:$N$150,3,),"n/a")</f>
        <v>n/a</v>
      </c>
      <c r="F19" s="239"/>
      <c r="G19" s="131" t="str">
        <f>IFERROR(VLOOKUP($C$16,MasterSheet!$B$6:$N$150,10,),"n/a")</f>
        <v>n/a</v>
      </c>
      <c r="H19" s="323" t="str">
        <f>IFERROR(VLOOKUP(C19,MasterSheet!$B$6:$N$150,11,),"N/a")</f>
        <v>N/a</v>
      </c>
      <c r="I19" s="323" t="str">
        <f t="shared" si="0"/>
        <v>-</v>
      </c>
      <c r="J19" s="169"/>
    </row>
    <row r="20" spans="1:10" ht="16.899999999999999">
      <c r="A20" s="967"/>
      <c r="B20" s="433"/>
      <c r="C20" s="239"/>
      <c r="D20" s="130"/>
      <c r="E20" s="130"/>
      <c r="F20" s="239"/>
      <c r="G20" s="131"/>
      <c r="H20" s="323"/>
      <c r="I20" s="323"/>
      <c r="J20" s="169"/>
    </row>
    <row r="21" spans="1:10" ht="16.899999999999999">
      <c r="A21" s="967"/>
      <c r="B21" s="974" t="s">
        <v>622</v>
      </c>
      <c r="C21" s="239" t="s">
        <v>1242</v>
      </c>
      <c r="D21" s="140" t="str">
        <f>VLOOKUP(C21,CK!$B$8:$L$279,3,)</f>
        <v>잡채</v>
      </c>
      <c r="E21" s="140" t="str">
        <f>VLOOKUP(C21,CK!$B$8:$L$279,4,)</f>
        <v>Japchae</v>
      </c>
      <c r="F21" s="239">
        <v>200</v>
      </c>
      <c r="G21" s="141" t="str">
        <f>VLOOKUP(C21,CK!$B$8:$L$279,9,)</f>
        <v>g</v>
      </c>
      <c r="H21" s="324">
        <f>VLOOKUP(C21,CK!$B$8:$L$279,10,)</f>
        <v>44.876871964568139</v>
      </c>
      <c r="I21" s="324">
        <f>IFERROR(F21*H21,"-")</f>
        <v>8975.3743929136272</v>
      </c>
      <c r="J21" s="170"/>
    </row>
    <row r="22" spans="1:10" ht="16.899999999999999">
      <c r="A22" s="967"/>
      <c r="B22" s="974"/>
      <c r="C22" s="239"/>
      <c r="D22" s="140"/>
      <c r="E22" s="140"/>
      <c r="F22" s="239"/>
      <c r="G22" s="141"/>
      <c r="H22" s="324"/>
      <c r="I22" s="324"/>
      <c r="J22" s="170"/>
    </row>
    <row r="23" spans="1:10" ht="16.899999999999999">
      <c r="A23" s="967"/>
      <c r="B23" s="974"/>
      <c r="C23" s="239"/>
      <c r="D23" s="140"/>
      <c r="E23" s="140"/>
      <c r="F23" s="239"/>
      <c r="G23" s="141"/>
      <c r="H23" s="324"/>
      <c r="I23" s="324"/>
      <c r="J23" s="170"/>
    </row>
    <row r="24" spans="1:10" ht="16.899999999999999">
      <c r="A24" s="967"/>
      <c r="B24" s="975" t="s">
        <v>623</v>
      </c>
      <c r="C24" s="239"/>
      <c r="D24" s="145"/>
      <c r="E24" s="145"/>
      <c r="F24" s="239"/>
      <c r="G24" s="147"/>
      <c r="H24" s="325"/>
      <c r="I24" s="325"/>
      <c r="J24" s="171"/>
    </row>
    <row r="25" spans="1:10" ht="16.899999999999999">
      <c r="A25" s="967"/>
      <c r="B25" s="976"/>
      <c r="C25" s="239"/>
      <c r="D25" s="145"/>
      <c r="E25" s="145"/>
      <c r="F25" s="239"/>
      <c r="G25" s="147"/>
      <c r="H25" s="325"/>
      <c r="I25" s="325"/>
      <c r="J25" s="171"/>
    </row>
    <row r="26" spans="1:10" ht="16.899999999999999">
      <c r="A26" s="967"/>
      <c r="B26" s="976"/>
      <c r="C26" s="239"/>
      <c r="D26" s="149"/>
      <c r="E26" s="149"/>
      <c r="F26" s="239"/>
      <c r="G26" s="147"/>
      <c r="H26" s="325"/>
      <c r="I26" s="325"/>
      <c r="J26" s="171"/>
    </row>
    <row r="27" spans="1:10" ht="17.25" thickBot="1">
      <c r="A27" s="968"/>
      <c r="B27" s="977"/>
      <c r="C27" s="346"/>
      <c r="D27" s="155"/>
      <c r="E27" s="154"/>
      <c r="F27" s="244"/>
      <c r="G27" s="152"/>
      <c r="H27" s="342"/>
      <c r="I27" s="342"/>
      <c r="J27" s="172"/>
    </row>
    <row r="28" spans="1:10" ht="17.25" thickBot="1">
      <c r="A28" s="156"/>
      <c r="B28" s="157" t="s">
        <v>614</v>
      </c>
      <c r="C28" s="935" t="s">
        <v>624</v>
      </c>
      <c r="D28" s="935"/>
      <c r="E28" s="341">
        <f>SUM(I14:I23)</f>
        <v>8975.3743929136272</v>
      </c>
      <c r="F28" s="936" t="s">
        <v>625</v>
      </c>
      <c r="G28" s="936"/>
      <c r="H28" s="936"/>
      <c r="I28" s="341">
        <f>SUM(I14:I27)</f>
        <v>8975.3743929136272</v>
      </c>
      <c r="J28" s="330" t="s">
        <v>790</v>
      </c>
    </row>
    <row r="29" spans="1:10" ht="17.25" thickBot="1">
      <c r="A29" s="156"/>
      <c r="B29" s="157"/>
      <c r="C29" s="158"/>
      <c r="D29" s="159"/>
      <c r="E29" s="159"/>
      <c r="F29" s="940" t="s">
        <v>789</v>
      </c>
      <c r="G29" s="940"/>
      <c r="H29" s="940"/>
      <c r="I29" s="340">
        <v>21000</v>
      </c>
      <c r="J29" s="331">
        <f>IFERROR((I28/I29),"-")</f>
        <v>0.42739878061493464</v>
      </c>
    </row>
    <row r="30" spans="1:10" ht="16.149999999999999" thickBot="1">
      <c r="A30" s="70"/>
      <c r="B30" s="97"/>
      <c r="C30" s="97"/>
      <c r="D30" s="97"/>
      <c r="E30" s="97"/>
      <c r="F30" s="98"/>
      <c r="G30" s="97"/>
      <c r="H30" s="97"/>
      <c r="I30" s="97"/>
      <c r="J30" s="127" t="s">
        <v>605</v>
      </c>
    </row>
    <row r="31" spans="1:10" ht="19.149999999999999" hidden="1">
      <c r="A31" s="941" t="s">
        <v>576</v>
      </c>
      <c r="B31" s="942"/>
      <c r="C31" s="942"/>
      <c r="D31" s="942"/>
      <c r="E31" s="942"/>
      <c r="F31" s="942"/>
      <c r="G31" s="942"/>
      <c r="H31" s="942"/>
      <c r="I31" s="942"/>
      <c r="J31" s="943"/>
    </row>
    <row r="32" spans="1:10" ht="16.899999999999999" hidden="1">
      <c r="A32" s="944" t="s">
        <v>577</v>
      </c>
      <c r="B32" s="945"/>
      <c r="C32" s="945"/>
      <c r="D32" s="946"/>
      <c r="E32" s="947" t="s">
        <v>578</v>
      </c>
      <c r="F32" s="947"/>
      <c r="G32" s="947"/>
      <c r="H32" s="947"/>
      <c r="I32" s="947"/>
      <c r="J32" s="948"/>
    </row>
    <row r="33" spans="1:10" ht="16.899999999999999" hidden="1">
      <c r="A33" s="73"/>
      <c r="B33" s="74"/>
      <c r="C33" s="74"/>
      <c r="D33" s="75"/>
      <c r="E33" s="76" t="s">
        <v>579</v>
      </c>
      <c r="F33" s="76"/>
      <c r="G33" s="67"/>
      <c r="H33" s="67"/>
      <c r="I33" s="67"/>
      <c r="J33" s="77"/>
    </row>
    <row r="34" spans="1:10" ht="15.75" hidden="1">
      <c r="A34" s="78"/>
      <c r="B34" s="79"/>
      <c r="C34" s="79"/>
      <c r="D34" s="80"/>
      <c r="E34" s="81" t="s">
        <v>580</v>
      </c>
      <c r="F34" s="82"/>
      <c r="G34" s="82"/>
      <c r="H34" s="82"/>
      <c r="I34" s="82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581</v>
      </c>
      <c r="F36" s="82"/>
      <c r="G36" s="82"/>
      <c r="H36" s="82"/>
      <c r="I36" s="82"/>
      <c r="J36" s="83"/>
    </row>
    <row r="37" spans="1:10" ht="15.75" hidden="1">
      <c r="A37" s="78"/>
      <c r="B37" s="79"/>
      <c r="C37" s="79"/>
      <c r="D37" s="80"/>
      <c r="E37" s="76" t="s">
        <v>582</v>
      </c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 t="s">
        <v>583</v>
      </c>
      <c r="F38" s="84"/>
      <c r="G38" s="79"/>
      <c r="H38" s="79"/>
      <c r="I38" s="79"/>
      <c r="J38" s="83"/>
    </row>
    <row r="39" spans="1:10" ht="15.75" hidden="1">
      <c r="A39" s="78"/>
      <c r="B39" s="79"/>
      <c r="C39" s="79"/>
      <c r="D39" s="80"/>
      <c r="E39" s="76"/>
      <c r="F39" s="84"/>
      <c r="G39" s="79"/>
      <c r="H39" s="79"/>
      <c r="I39" s="79"/>
      <c r="J39" s="83"/>
    </row>
    <row r="40" spans="1:10" ht="15.75" hidden="1">
      <c r="A40" s="78"/>
      <c r="B40" s="79"/>
      <c r="C40" s="79"/>
      <c r="D40" s="80"/>
      <c r="E40" s="76" t="s">
        <v>584</v>
      </c>
      <c r="F40" s="84"/>
      <c r="G40" s="79"/>
      <c r="H40" s="79"/>
      <c r="I40" s="79"/>
      <c r="J40" s="83"/>
    </row>
    <row r="41" spans="1:10" ht="15.75" hidden="1">
      <c r="A41" s="78"/>
      <c r="B41" s="79"/>
      <c r="C41" s="79"/>
      <c r="D41" s="80"/>
      <c r="E41" s="76" t="s">
        <v>585</v>
      </c>
      <c r="F41" s="84"/>
      <c r="G41" s="79"/>
      <c r="H41" s="79"/>
      <c r="I41" s="79"/>
      <c r="J41" s="83"/>
    </row>
    <row r="42" spans="1:10" ht="16.899999999999999" hidden="1">
      <c r="A42" s="937"/>
      <c r="B42" s="938"/>
      <c r="C42" s="938"/>
      <c r="D42" s="939"/>
      <c r="E42" s="76" t="s">
        <v>586</v>
      </c>
      <c r="F42" s="86"/>
      <c r="G42" s="79"/>
      <c r="H42" s="79"/>
      <c r="I42" s="79"/>
      <c r="J42" s="83"/>
    </row>
    <row r="43" spans="1:10" ht="16.899999999999999" hidden="1">
      <c r="A43" s="73"/>
      <c r="B43" s="74"/>
      <c r="C43" s="74"/>
      <c r="D43" s="85"/>
      <c r="E43" s="76" t="s">
        <v>587</v>
      </c>
      <c r="F43" s="86"/>
      <c r="G43" s="79"/>
      <c r="H43" s="79"/>
      <c r="I43" s="79"/>
      <c r="J43" s="83"/>
    </row>
    <row r="44" spans="1:10" ht="16.899999999999999" hidden="1">
      <c r="A44" s="937"/>
      <c r="B44" s="938"/>
      <c r="C44" s="938"/>
      <c r="D44" s="939"/>
      <c r="E44" s="76" t="s">
        <v>588</v>
      </c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76" t="s">
        <v>589</v>
      </c>
      <c r="F45" s="84"/>
      <c r="G45" s="79"/>
      <c r="H45" s="79"/>
      <c r="I45" s="79"/>
      <c r="J45" s="87"/>
    </row>
    <row r="46" spans="1:10" ht="16.899999999999999" hidden="1">
      <c r="A46" s="73"/>
      <c r="B46" s="74"/>
      <c r="C46" s="74"/>
      <c r="D46" s="85"/>
      <c r="E46" s="76" t="s">
        <v>590</v>
      </c>
      <c r="F46" s="84"/>
      <c r="G46" s="79"/>
      <c r="H46" s="79"/>
      <c r="I46" s="79"/>
      <c r="J46" s="87"/>
    </row>
    <row r="47" spans="1:10" ht="16.899999999999999" hidden="1">
      <c r="A47" s="73"/>
      <c r="B47" s="74"/>
      <c r="C47" s="74"/>
      <c r="D47" s="85"/>
      <c r="E47" s="88"/>
      <c r="F47" s="84"/>
      <c r="G47" s="79"/>
      <c r="H47" s="79"/>
      <c r="I47" s="79"/>
      <c r="J47" s="87"/>
    </row>
    <row r="48" spans="1:10" ht="16.899999999999999" hidden="1">
      <c r="A48" s="73"/>
      <c r="B48" s="74"/>
      <c r="C48" s="74"/>
      <c r="D48" s="85"/>
      <c r="E48" s="76" t="s">
        <v>591</v>
      </c>
      <c r="F48" s="84"/>
      <c r="G48" s="79"/>
      <c r="H48" s="79"/>
      <c r="I48" s="79"/>
      <c r="J48" s="87"/>
    </row>
    <row r="49" spans="1:10" ht="16.899999999999999" hidden="1">
      <c r="A49" s="78"/>
      <c r="B49" s="79"/>
      <c r="C49" s="79"/>
      <c r="D49" s="80"/>
      <c r="E49" s="76" t="s">
        <v>592</v>
      </c>
      <c r="F49" s="84"/>
      <c r="G49" s="79"/>
      <c r="H49" s="79"/>
      <c r="I49" s="79"/>
      <c r="J49" s="87"/>
    </row>
    <row r="50" spans="1:10" hidden="1">
      <c r="A50" s="78"/>
      <c r="B50" s="79"/>
      <c r="C50" s="79"/>
      <c r="D50" s="80"/>
      <c r="E50" s="69"/>
      <c r="F50" s="84"/>
      <c r="G50" s="79"/>
      <c r="H50" s="79"/>
      <c r="I50" s="79"/>
      <c r="J50" s="83"/>
    </row>
    <row r="51" spans="1:10" ht="15.75" hidden="1">
      <c r="A51" s="78"/>
      <c r="B51" s="79"/>
      <c r="C51" s="79"/>
      <c r="D51" s="80"/>
      <c r="E51" s="76" t="s">
        <v>593</v>
      </c>
      <c r="F51" s="84"/>
      <c r="G51" s="79"/>
      <c r="H51" s="79"/>
      <c r="I51" s="79"/>
      <c r="J51" s="83"/>
    </row>
    <row r="52" spans="1:10" ht="15.75" hidden="1">
      <c r="A52" s="78"/>
      <c r="B52" s="79"/>
      <c r="C52" s="79"/>
      <c r="D52" s="80"/>
      <c r="E52" s="76" t="s">
        <v>594</v>
      </c>
      <c r="F52" s="84"/>
      <c r="G52" s="79"/>
      <c r="H52" s="79"/>
      <c r="I52" s="79"/>
      <c r="J52" s="83"/>
    </row>
    <row r="53" spans="1:10" ht="15.75" hidden="1">
      <c r="A53" s="78"/>
      <c r="B53" s="79"/>
      <c r="C53" s="79"/>
      <c r="D53" s="80"/>
      <c r="E53" s="76" t="s">
        <v>595</v>
      </c>
      <c r="F53" s="88"/>
      <c r="G53" s="88"/>
      <c r="H53" s="88"/>
      <c r="I53" s="88"/>
      <c r="J53" s="83"/>
    </row>
    <row r="54" spans="1:10" ht="15.75" hidden="1">
      <c r="A54" s="78"/>
      <c r="B54" s="79"/>
      <c r="C54" s="79"/>
      <c r="D54" s="80"/>
      <c r="E54" s="76" t="s">
        <v>596</v>
      </c>
      <c r="F54" s="88"/>
      <c r="G54" s="88"/>
      <c r="H54" s="88"/>
      <c r="I54" s="88"/>
      <c r="J54" s="83"/>
    </row>
    <row r="55" spans="1:10" ht="16.899999999999999" hidden="1">
      <c r="A55" s="937"/>
      <c r="B55" s="938"/>
      <c r="C55" s="938"/>
      <c r="D55" s="939"/>
      <c r="E55" s="76" t="s">
        <v>597</v>
      </c>
      <c r="F55" s="89"/>
      <c r="G55" s="89"/>
      <c r="H55" s="89"/>
      <c r="I55" s="89"/>
      <c r="J55" s="83"/>
    </row>
    <row r="56" spans="1:10" ht="16.899999999999999" hidden="1">
      <c r="A56" s="73"/>
      <c r="B56" s="74"/>
      <c r="C56" s="74"/>
      <c r="D56" s="85"/>
      <c r="E56" s="76" t="s">
        <v>598</v>
      </c>
      <c r="F56" s="89"/>
      <c r="G56" s="89"/>
      <c r="H56" s="89"/>
      <c r="I56" s="89"/>
      <c r="J56" s="83"/>
    </row>
    <row r="57" spans="1:10" ht="16.899999999999999" hidden="1">
      <c r="A57" s="937"/>
      <c r="B57" s="938"/>
      <c r="C57" s="938"/>
      <c r="D57" s="939"/>
      <c r="E57" s="69"/>
      <c r="F57" s="89"/>
      <c r="G57" s="89"/>
      <c r="H57" s="89"/>
      <c r="I57" s="89"/>
      <c r="J57" s="83"/>
    </row>
    <row r="58" spans="1:10" ht="15.75" hidden="1">
      <c r="A58" s="78"/>
      <c r="B58" s="79"/>
      <c r="C58" s="79"/>
      <c r="D58" s="80"/>
      <c r="E58" s="69"/>
      <c r="F58" s="88"/>
      <c r="G58" s="88"/>
      <c r="H58" s="88"/>
      <c r="I58" s="88"/>
      <c r="J58" s="83"/>
    </row>
    <row r="59" spans="1:10" ht="16.149999999999999" hidden="1" thickBot="1">
      <c r="A59" s="90"/>
      <c r="B59" s="91"/>
      <c r="C59" s="91"/>
      <c r="D59" s="92"/>
      <c r="E59" s="93"/>
      <c r="F59" s="94"/>
      <c r="G59" s="94"/>
      <c r="H59" s="94"/>
      <c r="I59" s="94"/>
      <c r="J59" s="95"/>
    </row>
    <row r="60" spans="1:10" ht="16.149999999999999" hidden="1" thickBot="1">
      <c r="A60" s="70"/>
      <c r="B60" s="71"/>
      <c r="C60" s="71"/>
      <c r="D60" s="71"/>
      <c r="E60" s="71"/>
      <c r="F60" s="72"/>
      <c r="G60" s="71"/>
      <c r="H60" s="71"/>
      <c r="I60" s="71"/>
      <c r="J60" s="126" t="s">
        <v>605</v>
      </c>
    </row>
    <row r="61" spans="1:10" ht="19.149999999999999" hidden="1">
      <c r="A61" s="949" t="s">
        <v>576</v>
      </c>
      <c r="B61" s="950"/>
      <c r="C61" s="950"/>
      <c r="D61" s="950"/>
      <c r="E61" s="950"/>
      <c r="F61" s="950"/>
      <c r="G61" s="950"/>
      <c r="H61" s="950"/>
      <c r="I61" s="950"/>
      <c r="J61" s="951"/>
    </row>
    <row r="62" spans="1:10" ht="16.899999999999999" hidden="1">
      <c r="A62" s="944" t="s">
        <v>577</v>
      </c>
      <c r="B62" s="945"/>
      <c r="C62" s="945"/>
      <c r="D62" s="946"/>
      <c r="E62" s="945" t="s">
        <v>578</v>
      </c>
      <c r="F62" s="945"/>
      <c r="G62" s="945"/>
      <c r="H62" s="945"/>
      <c r="I62" s="945"/>
      <c r="J62" s="952"/>
    </row>
    <row r="63" spans="1:10" ht="16.899999999999999" hidden="1">
      <c r="A63" s="73"/>
      <c r="B63" s="74"/>
      <c r="C63" s="74"/>
      <c r="D63" s="75"/>
      <c r="E63" s="76" t="s">
        <v>599</v>
      </c>
      <c r="F63" s="76"/>
      <c r="G63" s="76"/>
      <c r="H63" s="67"/>
      <c r="I63" s="67"/>
      <c r="J63" s="77"/>
    </row>
    <row r="64" spans="1:10" ht="15.75" hidden="1">
      <c r="A64" s="78"/>
      <c r="B64" s="79"/>
      <c r="C64" s="79"/>
      <c r="D64" s="80"/>
      <c r="E64" s="76" t="s">
        <v>600</v>
      </c>
      <c r="F64" s="82"/>
      <c r="G64" s="82"/>
      <c r="H64" s="82"/>
      <c r="I64" s="82"/>
      <c r="J64" s="83"/>
    </row>
    <row r="65" spans="1:10" ht="15.75" hidden="1">
      <c r="A65" s="78"/>
      <c r="B65" s="79"/>
      <c r="C65" s="79"/>
      <c r="D65" s="80"/>
      <c r="E65" s="76" t="s">
        <v>601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 t="s">
        <v>602</v>
      </c>
      <c r="F66" s="82"/>
      <c r="G66" s="82"/>
      <c r="H66" s="82"/>
      <c r="I66" s="82"/>
      <c r="J66" s="83"/>
    </row>
    <row r="67" spans="1:10" ht="15.75" hidden="1">
      <c r="A67" s="78"/>
      <c r="B67" s="79"/>
      <c r="C67" s="79"/>
      <c r="D67" s="80"/>
      <c r="E67" s="76" t="s">
        <v>603</v>
      </c>
      <c r="F67" s="84"/>
      <c r="G67" s="79"/>
      <c r="H67" s="79"/>
      <c r="I67" s="79"/>
      <c r="J67" s="83"/>
    </row>
    <row r="68" spans="1:10" hidden="1">
      <c r="A68" s="78"/>
      <c r="B68" s="79"/>
      <c r="C68" s="79"/>
      <c r="D68" s="80"/>
      <c r="E68" s="69"/>
      <c r="F68" s="84"/>
      <c r="G68" s="79"/>
      <c r="H68" s="79"/>
      <c r="I68" s="79"/>
      <c r="J68" s="83"/>
    </row>
    <row r="69" spans="1:10" ht="15.75" hidden="1">
      <c r="A69" s="78"/>
      <c r="B69" s="79"/>
      <c r="C69" s="79"/>
      <c r="D69" s="80"/>
      <c r="E69" s="76" t="s">
        <v>604</v>
      </c>
      <c r="F69" s="84"/>
      <c r="G69" s="79"/>
      <c r="H69" s="79"/>
      <c r="I69" s="79"/>
      <c r="J69" s="83"/>
    </row>
    <row r="70" spans="1:10" ht="15.75" hidden="1">
      <c r="A70" s="78"/>
      <c r="B70" s="79"/>
      <c r="C70" s="79"/>
      <c r="D70" s="80"/>
      <c r="E70" s="76"/>
      <c r="F70" s="84"/>
      <c r="G70" s="79"/>
      <c r="H70" s="79"/>
      <c r="I70" s="79"/>
      <c r="J70" s="83"/>
    </row>
    <row r="71" spans="1:10" ht="15.75" hidden="1">
      <c r="A71" s="78"/>
      <c r="B71" s="79"/>
      <c r="C71" s="79"/>
      <c r="D71" s="80"/>
      <c r="E71" s="76"/>
      <c r="F71" s="84"/>
      <c r="G71" s="79"/>
      <c r="H71" s="79"/>
      <c r="I71" s="79"/>
      <c r="J71" s="83"/>
    </row>
    <row r="72" spans="1:10" ht="16.899999999999999" hidden="1">
      <c r="A72" s="937"/>
      <c r="B72" s="938"/>
      <c r="C72" s="938"/>
      <c r="D72" s="939"/>
      <c r="E72" s="76"/>
      <c r="F72" s="89"/>
      <c r="G72" s="89"/>
      <c r="H72" s="89"/>
      <c r="I72" s="89"/>
      <c r="J72" s="83"/>
    </row>
    <row r="73" spans="1:10" ht="16.899999999999999" hidden="1">
      <c r="A73" s="73"/>
      <c r="B73" s="74"/>
      <c r="C73" s="74"/>
      <c r="D73" s="85"/>
      <c r="E73" s="96"/>
      <c r="F73" s="89"/>
      <c r="G73" s="89"/>
      <c r="H73" s="89"/>
      <c r="I73" s="89"/>
      <c r="J73" s="83"/>
    </row>
    <row r="74" spans="1:10" ht="15.75" hidden="1">
      <c r="A74" s="78"/>
      <c r="B74" s="79"/>
      <c r="C74" s="79"/>
      <c r="D74" s="80"/>
      <c r="E74" s="69"/>
      <c r="F74" s="88"/>
      <c r="G74" s="88"/>
      <c r="H74" s="88"/>
      <c r="I74" s="88"/>
      <c r="J74" s="83"/>
    </row>
    <row r="75" spans="1:10" ht="16.149999999999999" hidden="1" thickBot="1">
      <c r="A75" s="90"/>
      <c r="B75" s="91"/>
      <c r="C75" s="91"/>
      <c r="D75" s="92"/>
      <c r="E75" s="93"/>
      <c r="F75" s="94"/>
      <c r="G75" s="94"/>
      <c r="H75" s="94"/>
      <c r="I75" s="94"/>
      <c r="J75" s="95"/>
    </row>
    <row r="76" spans="1:10" ht="16.149999999999999" hidden="1" thickBot="1">
      <c r="A76" s="70"/>
      <c r="B76" s="71"/>
      <c r="C76" s="71"/>
      <c r="D76" s="71"/>
      <c r="E76" s="71"/>
      <c r="F76" s="72"/>
      <c r="G76" s="71"/>
      <c r="H76" s="71"/>
      <c r="I76" s="71"/>
      <c r="J76" s="126" t="s">
        <v>605</v>
      </c>
    </row>
  </sheetData>
  <mergeCells count="30">
    <mergeCell ref="C28:D28"/>
    <mergeCell ref="F28:H28"/>
    <mergeCell ref="A72:D72"/>
    <mergeCell ref="F29:H29"/>
    <mergeCell ref="A31:J31"/>
    <mergeCell ref="A32:D32"/>
    <mergeCell ref="E32:J32"/>
    <mergeCell ref="A42:D42"/>
    <mergeCell ref="A44:D44"/>
    <mergeCell ref="A55:D55"/>
    <mergeCell ref="A57:D57"/>
    <mergeCell ref="A61:J61"/>
    <mergeCell ref="A62:D62"/>
    <mergeCell ref="E62:J62"/>
    <mergeCell ref="A1:J1"/>
    <mergeCell ref="A3:A11"/>
    <mergeCell ref="B3:J11"/>
    <mergeCell ref="A12:A27"/>
    <mergeCell ref="B12:B13"/>
    <mergeCell ref="C12:C13"/>
    <mergeCell ref="D12:E12"/>
    <mergeCell ref="F12:F13"/>
    <mergeCell ref="G12:G13"/>
    <mergeCell ref="H12:H13"/>
    <mergeCell ref="I12:I13"/>
    <mergeCell ref="J12:J13"/>
    <mergeCell ref="B14:B18"/>
    <mergeCell ref="B21:B23"/>
    <mergeCell ref="B24:B27"/>
    <mergeCell ref="B2:J2"/>
  </mergeCells>
  <phoneticPr fontId="2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8524BE-B311-497B-B37F-D35BB9313A1F}">
  <sheetPr>
    <tabColor rgb="FFFF0000"/>
  </sheetPr>
  <dimension ref="A1:J72"/>
  <sheetViews>
    <sheetView showGridLines="0" topLeftCell="D8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1133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747</v>
      </c>
      <c r="D14" s="130" t="str">
        <f>IFERROR(VLOOKUP(C14,MasterSheet!$B$6:$N$150,2,),"n/a")</f>
        <v>n/a</v>
      </c>
      <c r="E14" s="130" t="str">
        <f>IFERROR(VLOOKUP(C14,MasterSheet!$B$6:$N$150,3,),"n/a")</f>
        <v>n/a</v>
      </c>
      <c r="F14" s="176">
        <v>55</v>
      </c>
      <c r="G14" s="131" t="str">
        <f>IFERROR(VLOOKUP(C14,MasterSheet!B6:N150,10,),"N/a")</f>
        <v>N/a</v>
      </c>
      <c r="H14" s="323" t="str">
        <f>IFERROR(VLOOKUP(C14,MasterSheet!$B$6:$N$150,11,),"N/a")</f>
        <v>N/a</v>
      </c>
      <c r="I14" s="323" t="str">
        <f>IFERROR(F14*H14,"-")</f>
        <v>-</v>
      </c>
      <c r="J14" s="166"/>
    </row>
    <row r="15" spans="1:10" ht="16.5" customHeight="1">
      <c r="A15" s="967"/>
      <c r="B15" s="973"/>
      <c r="C15" s="175" t="s">
        <v>1190</v>
      </c>
      <c r="D15" s="130" t="str">
        <f>IFERROR(VLOOKUP(C15,MasterSheet!$B$6:$N$150,2,),"n/a")</f>
        <v>n/a</v>
      </c>
      <c r="E15" s="130" t="str">
        <f>IFERROR(VLOOKUP(C15,MasterSheet!$B$6:$N$150,3,),"n/a")</f>
        <v>n/a</v>
      </c>
      <c r="F15" s="176">
        <v>75</v>
      </c>
      <c r="G15" s="131" t="str">
        <f>IFERROR(VLOOKUP($C$15,MasterSheet!$B$6:$N$150,10,),"n/a")</f>
        <v>n/a</v>
      </c>
      <c r="H15" s="323" t="str">
        <f>IFERROR(VLOOKUP(C15,MasterSheet!$B$6:$N$150,11,),"N/a")</f>
        <v>N/a</v>
      </c>
      <c r="I15" s="323" t="str">
        <f>IFERROR(F15*H15,"-")</f>
        <v>-</v>
      </c>
      <c r="J15" s="167"/>
    </row>
    <row r="16" spans="1:10" ht="16.899999999999999">
      <c r="A16" s="967"/>
      <c r="B16" s="973"/>
      <c r="C16" s="175" t="s">
        <v>660</v>
      </c>
      <c r="D16" s="130" t="str">
        <f>IFERROR(VLOOKUP(C16,MasterSheet!$B$6:$N$150,2,),"n/a")</f>
        <v>탄산음료 베이스</v>
      </c>
      <c r="E16" s="130" t="str">
        <f>IFERROR(VLOOKUP(C16,MasterSheet!$B$6:$N$150,3,),"n/a")</f>
        <v>Soft Drink Base</v>
      </c>
      <c r="F16" s="176">
        <v>80</v>
      </c>
      <c r="G16" s="131" t="str">
        <f>IFERROR(VLOOKUP($C$16,MasterSheet!$B$6:$N$150,10,),"n/a")</f>
        <v>g</v>
      </c>
      <c r="H16" s="323">
        <f>IFERROR(VLOOKUP(C16,MasterSheet!$B$6:$N$150,11,),"N/a")</f>
        <v>70.707070707070713</v>
      </c>
      <c r="I16" s="323">
        <f>IFERROR(F16*H16,"-")</f>
        <v>5656.5656565656573</v>
      </c>
      <c r="J16" s="167"/>
    </row>
    <row r="17" spans="1:10" ht="16.899999999999999">
      <c r="A17" s="967"/>
      <c r="B17" s="974" t="s">
        <v>622</v>
      </c>
      <c r="C17" s="175"/>
      <c r="D17" s="140" t="e">
        <f>VLOOKUP(C17,CK!$B$8:$L$83,3,)</f>
        <v>#N/A</v>
      </c>
      <c r="E17" s="140" t="e">
        <f>VLOOKUP(C17,CK!$B$8:$L$83,4,)</f>
        <v>#N/A</v>
      </c>
      <c r="F17" s="245"/>
      <c r="G17" s="141" t="e">
        <f>VLOOKUP(C17,CK!$B$8:$L$83,9,)</f>
        <v>#N/A</v>
      </c>
      <c r="H17" s="324" t="e">
        <f>VLOOKUP(C17,CK!$B$8:$L$83,10,)</f>
        <v>#N/A</v>
      </c>
      <c r="I17" s="324" t="str">
        <f>IFERROR(F17*H17,"-")</f>
        <v>-</v>
      </c>
      <c r="J17" s="170"/>
    </row>
    <row r="18" spans="1:10" ht="16.899999999999999">
      <c r="A18" s="967"/>
      <c r="B18" s="974"/>
      <c r="C18" s="175"/>
      <c r="D18" s="140"/>
      <c r="E18" s="140"/>
      <c r="F18" s="176"/>
      <c r="G18" s="141"/>
      <c r="H18" s="324"/>
      <c r="I18" s="324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28.5">
      <c r="A20" s="967"/>
      <c r="B20" s="975" t="s">
        <v>623</v>
      </c>
      <c r="C20" s="175" t="s">
        <v>1239</v>
      </c>
      <c r="D20" s="145" t="str">
        <f>IFERROR(VLOOKUP(C20,MasterSheet!$B$6:$N$826,2,),"n/a")</f>
        <v>음료 패키지 (14oz) - PET</v>
      </c>
      <c r="E20" s="145" t="str">
        <f>IFERROR(VLOOKUP(C20,MasterSheet!$B$6:$N$826,3,),"n/a")</f>
        <v>PET Cup 14 Oz Flat Cetak 1 Warna</v>
      </c>
      <c r="F20" s="176">
        <v>1</v>
      </c>
      <c r="G20" s="147" t="str">
        <f>IFERROR(VLOOKUP(C20,MasterSheet!$B$6:$N$826,10,),"n/a")</f>
        <v>ea</v>
      </c>
      <c r="H20" s="325">
        <f>IFERROR(VLOOKUP(C20,MasterSheet!$B$6:$N$826,11,),"n/a")</f>
        <v>208</v>
      </c>
      <c r="I20" s="323">
        <f>IFERROR(F20*H20,"-")</f>
        <v>208</v>
      </c>
      <c r="J20" s="171"/>
    </row>
    <row r="21" spans="1:10" ht="16.899999999999999">
      <c r="A21" s="967"/>
      <c r="B21" s="976"/>
      <c r="C21" s="175" t="s">
        <v>1240</v>
      </c>
      <c r="D21" s="145" t="str">
        <f>IFERROR(VLOOKUP(C21,MasterSheet!$B$6:$N$826,2,),"n/a")</f>
        <v>돔 뚜껑 (14oz)</v>
      </c>
      <c r="E21" s="145" t="str">
        <f>IFERROR(VLOOKUP(C21,MasterSheet!$B$6:$N$826,3,),"n/a")</f>
        <v>Dome Lid</v>
      </c>
      <c r="F21" s="176">
        <v>1</v>
      </c>
      <c r="G21" s="147" t="str">
        <f>IFERROR(VLOOKUP(C21,MasterSheet!$B$6:$N$826,10,),"n/a")</f>
        <v>ea</v>
      </c>
      <c r="H21" s="325">
        <f>IFERROR(VLOOKUP(C21,MasterSheet!$B$6:$N$826,11,),"n/a")</f>
        <v>221</v>
      </c>
      <c r="I21" s="323">
        <f>IFERROR(F21*H21,"-")</f>
        <v>221</v>
      </c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325"/>
      <c r="I22" s="325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342"/>
      <c r="I23" s="34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41">
        <f>SUM(I14:I19)</f>
        <v>5656.5656565656573</v>
      </c>
      <c r="F24" s="988" t="s">
        <v>625</v>
      </c>
      <c r="G24" s="988"/>
      <c r="H24" s="988"/>
      <c r="I24" s="341">
        <f>SUM(I14:I23)</f>
        <v>6085.5656565656573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237" t="e">
        <f>COSTING!#REF!</f>
        <v>#REF!</v>
      </c>
      <c r="J25" s="331" t="str">
        <f>IFERROR((I24/I25),"-")</f>
        <v>-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B20:B23"/>
    <mergeCell ref="A1:J1"/>
    <mergeCell ref="B2:J2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  <mergeCell ref="C24:D24"/>
    <mergeCell ref="F24:H24"/>
    <mergeCell ref="F25:H25"/>
    <mergeCell ref="A27:J27"/>
    <mergeCell ref="A28:D28"/>
    <mergeCell ref="E28:J28"/>
    <mergeCell ref="A68:D68"/>
    <mergeCell ref="A38:D38"/>
    <mergeCell ref="A40:D40"/>
    <mergeCell ref="A51:D51"/>
    <mergeCell ref="A53:D53"/>
    <mergeCell ref="A57:J57"/>
    <mergeCell ref="A58:D58"/>
    <mergeCell ref="E58:J58"/>
  </mergeCells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A4917-F1F5-4309-B0A0-477200AABD77}">
  <sheetPr>
    <tabColor rgb="FFFF0000"/>
  </sheetPr>
  <dimension ref="A1:J72"/>
  <sheetViews>
    <sheetView showGridLines="0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1133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1233</v>
      </c>
      <c r="D14" s="130" t="str">
        <f>IFERROR(VLOOKUP(C14,MasterSheet!$B$6:$N$150,2,),"n/a")</f>
        <v>아침햇살</v>
      </c>
      <c r="E14" s="130" t="str">
        <f>IFERROR(VLOOKUP(C14,MasterSheet!$B$6:$N$150,3,),"n/a")</f>
        <v>Korean Rice Drink</v>
      </c>
      <c r="F14" s="176">
        <v>75</v>
      </c>
      <c r="G14" s="131" t="str">
        <f>IFERROR(VLOOKUP(C14,MasterSheet!B6:N150,10,),"N/a")</f>
        <v>g</v>
      </c>
      <c r="H14" s="323">
        <f>IFERROR(VLOOKUP(C14,MasterSheet!$B$6:$N$150,11,),"N/a")</f>
        <v>47.138047138047135</v>
      </c>
      <c r="I14" s="323">
        <f>IFERROR(F14*H14,"-")</f>
        <v>3535.3535353535353</v>
      </c>
      <c r="J14" s="166"/>
    </row>
    <row r="15" spans="1:10" ht="16.5" customHeight="1">
      <c r="A15" s="967"/>
      <c r="B15" s="973"/>
      <c r="C15" s="175" t="s">
        <v>1238</v>
      </c>
      <c r="D15" s="130" t="str">
        <f>IFERROR(VLOOKUP(C15,MasterSheet!$B$6:$N$150,2,),"n/a")</f>
        <v>미숫가루</v>
      </c>
      <c r="E15" s="130" t="str">
        <f>IFERROR(VLOOKUP(C15,MasterSheet!$B$6:$N$150,3,),"n/a")</f>
        <v xml:space="preserve">Multi grain powder </v>
      </c>
      <c r="F15" s="176">
        <v>20</v>
      </c>
      <c r="G15" s="131" t="str">
        <f>IFERROR(VLOOKUP($C$15,MasterSheet!$B$6:$N$150,10,),"n/a")</f>
        <v>g</v>
      </c>
      <c r="H15" s="323">
        <f>IFERROR(VLOOKUP(C15,MasterSheet!$B$6:$N$150,11,),"N/a")</f>
        <v>288.88888888888891</v>
      </c>
      <c r="I15" s="323">
        <f>IFERROR(F15*H15,"-")</f>
        <v>5777.7777777777783</v>
      </c>
      <c r="J15" s="167"/>
    </row>
    <row r="16" spans="1:10" ht="16.899999999999999">
      <c r="A16" s="967"/>
      <c r="B16" s="973"/>
      <c r="C16" s="175" t="s">
        <v>743</v>
      </c>
      <c r="D16" s="130" t="str">
        <f>IFERROR(VLOOKUP(C16,MasterSheet!$B$6:$N$150,2,),"n/a")</f>
        <v>백설탕</v>
      </c>
      <c r="E16" s="130" t="str">
        <f>IFERROR(VLOOKUP(C16,MasterSheet!$B$6:$N$150,3,),"n/a")</f>
        <v>White Sugar</v>
      </c>
      <c r="F16" s="176">
        <v>20</v>
      </c>
      <c r="G16" s="131" t="str">
        <f>IFERROR(VLOOKUP($C$16,MasterSheet!$B$6:$N$150,10,),"n/a")</f>
        <v>g</v>
      </c>
      <c r="H16" s="323">
        <f>IFERROR(VLOOKUP(C16,MasterSheet!$B$6:$N$150,11,),"N/a")</f>
        <v>21.212121212121211</v>
      </c>
      <c r="I16" s="323">
        <f>IFERROR(F16*H16,"-")</f>
        <v>424.24242424242425</v>
      </c>
      <c r="J16" s="167"/>
    </row>
    <row r="17" spans="1:10" ht="16.899999999999999">
      <c r="A17" s="967"/>
      <c r="B17" s="974" t="s">
        <v>622</v>
      </c>
      <c r="C17" s="175"/>
      <c r="D17" s="140" t="e">
        <f>VLOOKUP(C17,CK!$B$8:$L$83,3,)</f>
        <v>#N/A</v>
      </c>
      <c r="E17" s="140" t="e">
        <f>VLOOKUP(C17,CK!$B$8:$L$83,4,)</f>
        <v>#N/A</v>
      </c>
      <c r="F17" s="245"/>
      <c r="G17" s="141" t="e">
        <f>VLOOKUP(C17,CK!$B$8:$L$83,9,)</f>
        <v>#N/A</v>
      </c>
      <c r="H17" s="324" t="e">
        <f>VLOOKUP(C17,CK!$B$8:$L$83,10,)</f>
        <v>#N/A</v>
      </c>
      <c r="I17" s="324" t="str">
        <f>IFERROR(F17*H17,"-")</f>
        <v>-</v>
      </c>
      <c r="J17" s="170"/>
    </row>
    <row r="18" spans="1:10" ht="16.899999999999999">
      <c r="A18" s="967"/>
      <c r="B18" s="974"/>
      <c r="C18" s="175"/>
      <c r="D18" s="140"/>
      <c r="E18" s="140"/>
      <c r="F18" s="176"/>
      <c r="G18" s="141"/>
      <c r="H18" s="324"/>
      <c r="I18" s="324"/>
      <c r="J18" s="170"/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28.5">
      <c r="A20" s="967"/>
      <c r="B20" s="975" t="s">
        <v>623</v>
      </c>
      <c r="C20" s="175" t="s">
        <v>1239</v>
      </c>
      <c r="D20" s="145" t="str">
        <f>IFERROR(VLOOKUP(C20,MasterSheet!$B$6:$N$826,2,),"n/a")</f>
        <v>음료 패키지 (14oz) - PET</v>
      </c>
      <c r="E20" s="145" t="str">
        <f>IFERROR(VLOOKUP(C20,MasterSheet!$B$6:$N$826,3,),"n/a")</f>
        <v>PET Cup 14 Oz Flat Cetak 1 Warna</v>
      </c>
      <c r="F20" s="176">
        <v>1</v>
      </c>
      <c r="G20" s="147" t="str">
        <f>IFERROR(VLOOKUP(C20,MasterSheet!$B$6:$N$826,10,),"n/a")</f>
        <v>ea</v>
      </c>
      <c r="H20" s="325">
        <f>IFERROR(VLOOKUP(C20,MasterSheet!$B$6:$N$826,11,),"n/a")</f>
        <v>208</v>
      </c>
      <c r="I20" s="323">
        <f>IFERROR(F20*H20,"-")</f>
        <v>208</v>
      </c>
      <c r="J20" s="171"/>
    </row>
    <row r="21" spans="1:10" ht="16.899999999999999">
      <c r="A21" s="967"/>
      <c r="B21" s="976"/>
      <c r="C21" s="175" t="s">
        <v>1240</v>
      </c>
      <c r="D21" s="145" t="str">
        <f>IFERROR(VLOOKUP(C21,MasterSheet!$B$6:$N$826,2,),"n/a")</f>
        <v>돔 뚜껑 (14oz)</v>
      </c>
      <c r="E21" s="145" t="str">
        <f>IFERROR(VLOOKUP(C21,MasterSheet!$B$6:$N$826,3,),"n/a")</f>
        <v>Dome Lid</v>
      </c>
      <c r="F21" s="176">
        <v>1</v>
      </c>
      <c r="G21" s="147" t="str">
        <f>IFERROR(VLOOKUP(C21,MasterSheet!$B$6:$N$826,10,),"n/a")</f>
        <v>ea</v>
      </c>
      <c r="H21" s="325">
        <f>IFERROR(VLOOKUP(C21,MasterSheet!$B$6:$N$826,11,),"n/a")</f>
        <v>221</v>
      </c>
      <c r="I21" s="323">
        <f>IFERROR(F21*H21,"-")</f>
        <v>221</v>
      </c>
      <c r="J21" s="171"/>
    </row>
    <row r="22" spans="1:10" ht="16.899999999999999">
      <c r="A22" s="967"/>
      <c r="B22" s="976"/>
      <c r="C22" s="175"/>
      <c r="D22" s="149"/>
      <c r="E22" s="149"/>
      <c r="F22" s="176"/>
      <c r="G22" s="147"/>
      <c r="H22" s="325"/>
      <c r="I22" s="325"/>
      <c r="J22" s="171"/>
    </row>
    <row r="23" spans="1:10" ht="17.25" thickBot="1">
      <c r="A23" s="968"/>
      <c r="B23" s="977"/>
      <c r="C23" s="241"/>
      <c r="D23" s="155"/>
      <c r="E23" s="154"/>
      <c r="F23" s="242"/>
      <c r="G23" s="152"/>
      <c r="H23" s="342"/>
      <c r="I23" s="342"/>
      <c r="J23" s="172"/>
    </row>
    <row r="24" spans="1:10" ht="17.25" thickBot="1">
      <c r="A24" s="156"/>
      <c r="B24" s="157" t="s">
        <v>614</v>
      </c>
      <c r="C24" s="935" t="s">
        <v>624</v>
      </c>
      <c r="D24" s="935"/>
      <c r="E24" s="341">
        <f>SUM(I14:I19)</f>
        <v>9737.3737373737385</v>
      </c>
      <c r="F24" s="988" t="s">
        <v>625</v>
      </c>
      <c r="G24" s="988"/>
      <c r="H24" s="988"/>
      <c r="I24" s="341">
        <f>SUM(I14:I23)</f>
        <v>10166.373737373739</v>
      </c>
      <c r="J24" s="330" t="s">
        <v>790</v>
      </c>
    </row>
    <row r="25" spans="1:10" ht="17.25" thickBot="1">
      <c r="A25" s="156"/>
      <c r="B25" s="157"/>
      <c r="C25" s="158"/>
      <c r="D25" s="159"/>
      <c r="E25" s="159"/>
      <c r="F25" s="940" t="s">
        <v>789</v>
      </c>
      <c r="G25" s="940"/>
      <c r="H25" s="940"/>
      <c r="I25" s="237" t="e">
        <f>COSTING!#REF!</f>
        <v>#REF!</v>
      </c>
      <c r="J25" s="331" t="str">
        <f>IFERROR((I24/I25),"-")</f>
        <v>-</v>
      </c>
    </row>
    <row r="26" spans="1:10" ht="16.149999999999999" thickBot="1">
      <c r="A26" s="70"/>
      <c r="B26" s="97"/>
      <c r="C26" s="97"/>
      <c r="D26" s="97"/>
      <c r="E26" s="97"/>
      <c r="F26" s="98"/>
      <c r="G26" s="97"/>
      <c r="H26" s="97"/>
      <c r="I26" s="97"/>
      <c r="J26" s="127" t="s">
        <v>605</v>
      </c>
    </row>
    <row r="27" spans="1:10" ht="19.149999999999999" hidden="1">
      <c r="A27" s="941" t="s">
        <v>576</v>
      </c>
      <c r="B27" s="942"/>
      <c r="C27" s="942"/>
      <c r="D27" s="942"/>
      <c r="E27" s="942"/>
      <c r="F27" s="942"/>
      <c r="G27" s="942"/>
      <c r="H27" s="942"/>
      <c r="I27" s="942"/>
      <c r="J27" s="943"/>
    </row>
    <row r="28" spans="1:10" ht="16.899999999999999" hidden="1">
      <c r="A28" s="944" t="s">
        <v>577</v>
      </c>
      <c r="B28" s="945"/>
      <c r="C28" s="945"/>
      <c r="D28" s="946"/>
      <c r="E28" s="947" t="s">
        <v>578</v>
      </c>
      <c r="F28" s="947"/>
      <c r="G28" s="947"/>
      <c r="H28" s="947"/>
      <c r="I28" s="947"/>
      <c r="J28" s="948"/>
    </row>
    <row r="29" spans="1:10" ht="16.899999999999999" hidden="1">
      <c r="A29" s="73"/>
      <c r="B29" s="74"/>
      <c r="C29" s="74"/>
      <c r="D29" s="75"/>
      <c r="E29" s="76" t="s">
        <v>579</v>
      </c>
      <c r="F29" s="76"/>
      <c r="G29" s="67"/>
      <c r="H29" s="67"/>
      <c r="I29" s="67"/>
      <c r="J29" s="77"/>
    </row>
    <row r="30" spans="1:10" ht="15.75" hidden="1">
      <c r="A30" s="78"/>
      <c r="B30" s="79"/>
      <c r="C30" s="79"/>
      <c r="D30" s="80"/>
      <c r="E30" s="81" t="s">
        <v>580</v>
      </c>
      <c r="F30" s="82"/>
      <c r="G30" s="82"/>
      <c r="H30" s="82"/>
      <c r="I30" s="82"/>
      <c r="J30" s="83"/>
    </row>
    <row r="31" spans="1:10" ht="15.75" hidden="1">
      <c r="A31" s="78"/>
      <c r="B31" s="79"/>
      <c r="C31" s="79"/>
      <c r="D31" s="80"/>
      <c r="E31" s="76"/>
      <c r="F31" s="84"/>
      <c r="G31" s="79"/>
      <c r="H31" s="79"/>
      <c r="I31" s="79"/>
      <c r="J31" s="83"/>
    </row>
    <row r="32" spans="1:10" ht="15.75" hidden="1">
      <c r="A32" s="78"/>
      <c r="B32" s="79"/>
      <c r="C32" s="79"/>
      <c r="D32" s="80"/>
      <c r="E32" s="76" t="s">
        <v>581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 t="s">
        <v>582</v>
      </c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583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/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584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585</v>
      </c>
      <c r="F37" s="84"/>
      <c r="G37" s="79"/>
      <c r="H37" s="79"/>
      <c r="I37" s="79"/>
      <c r="J37" s="83"/>
    </row>
    <row r="38" spans="1:10" ht="16.899999999999999" hidden="1">
      <c r="A38" s="937"/>
      <c r="B38" s="938"/>
      <c r="C38" s="938"/>
      <c r="D38" s="939"/>
      <c r="E38" s="76" t="s">
        <v>586</v>
      </c>
      <c r="F38" s="86"/>
      <c r="G38" s="79"/>
      <c r="H38" s="79"/>
      <c r="I38" s="79"/>
      <c r="J38" s="83"/>
    </row>
    <row r="39" spans="1:10" ht="16.899999999999999" hidden="1">
      <c r="A39" s="73"/>
      <c r="B39" s="74"/>
      <c r="C39" s="74"/>
      <c r="D39" s="85"/>
      <c r="E39" s="76" t="s">
        <v>587</v>
      </c>
      <c r="F39" s="86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588</v>
      </c>
      <c r="F40" s="84"/>
      <c r="G40" s="79"/>
      <c r="H40" s="79"/>
      <c r="I40" s="79"/>
      <c r="J40" s="87"/>
    </row>
    <row r="41" spans="1:10" ht="16.899999999999999" hidden="1">
      <c r="A41" s="73"/>
      <c r="B41" s="74"/>
      <c r="C41" s="74"/>
      <c r="D41" s="85"/>
      <c r="E41" s="76" t="s">
        <v>589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590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88"/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591</v>
      </c>
      <c r="F44" s="84"/>
      <c r="G44" s="79"/>
      <c r="H44" s="79"/>
      <c r="I44" s="79"/>
      <c r="J44" s="87"/>
    </row>
    <row r="45" spans="1:10" ht="16.899999999999999" hidden="1">
      <c r="A45" s="78"/>
      <c r="B45" s="79"/>
      <c r="C45" s="79"/>
      <c r="D45" s="80"/>
      <c r="E45" s="76" t="s">
        <v>592</v>
      </c>
      <c r="F45" s="84"/>
      <c r="G45" s="79"/>
      <c r="H45" s="79"/>
      <c r="I45" s="79"/>
      <c r="J45" s="87"/>
    </row>
    <row r="46" spans="1:10" hidden="1">
      <c r="A46" s="78"/>
      <c r="B46" s="79"/>
      <c r="C46" s="79"/>
      <c r="D46" s="80"/>
      <c r="E46" s="69"/>
      <c r="F46" s="84"/>
      <c r="G46" s="79"/>
      <c r="H46" s="79"/>
      <c r="I46" s="79"/>
      <c r="J46" s="83"/>
    </row>
    <row r="47" spans="1:10" ht="15.75" hidden="1">
      <c r="A47" s="78"/>
      <c r="B47" s="79"/>
      <c r="C47" s="79"/>
      <c r="D47" s="80"/>
      <c r="E47" s="76" t="s">
        <v>593</v>
      </c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595</v>
      </c>
      <c r="F49" s="88"/>
      <c r="G49" s="88"/>
      <c r="H49" s="88"/>
      <c r="I49" s="88"/>
      <c r="J49" s="83"/>
    </row>
    <row r="50" spans="1:10" ht="15.75" hidden="1">
      <c r="A50" s="78"/>
      <c r="B50" s="79"/>
      <c r="C50" s="79"/>
      <c r="D50" s="80"/>
      <c r="E50" s="76" t="s">
        <v>596</v>
      </c>
      <c r="F50" s="88"/>
      <c r="G50" s="88"/>
      <c r="H50" s="88"/>
      <c r="I50" s="88"/>
      <c r="J50" s="83"/>
    </row>
    <row r="51" spans="1:10" ht="16.899999999999999" hidden="1">
      <c r="A51" s="937"/>
      <c r="B51" s="938"/>
      <c r="C51" s="938"/>
      <c r="D51" s="939"/>
      <c r="E51" s="76" t="s">
        <v>597</v>
      </c>
      <c r="F51" s="89"/>
      <c r="G51" s="89"/>
      <c r="H51" s="89"/>
      <c r="I51" s="89"/>
      <c r="J51" s="83"/>
    </row>
    <row r="52" spans="1:10" ht="16.899999999999999" hidden="1">
      <c r="A52" s="73"/>
      <c r="B52" s="74"/>
      <c r="C52" s="74"/>
      <c r="D52" s="85"/>
      <c r="E52" s="76" t="s">
        <v>598</v>
      </c>
      <c r="F52" s="89"/>
      <c r="G52" s="89"/>
      <c r="H52" s="89"/>
      <c r="I52" s="89"/>
      <c r="J52" s="83"/>
    </row>
    <row r="53" spans="1:10" ht="16.899999999999999" hidden="1">
      <c r="A53" s="937"/>
      <c r="B53" s="938"/>
      <c r="C53" s="938"/>
      <c r="D53" s="939"/>
      <c r="E53" s="69"/>
      <c r="F53" s="89"/>
      <c r="G53" s="89"/>
      <c r="H53" s="89"/>
      <c r="I53" s="89"/>
      <c r="J53" s="83"/>
    </row>
    <row r="54" spans="1:10" ht="15.75" hidden="1">
      <c r="A54" s="78"/>
      <c r="B54" s="79"/>
      <c r="C54" s="79"/>
      <c r="D54" s="80"/>
      <c r="E54" s="69"/>
      <c r="F54" s="88"/>
      <c r="G54" s="88"/>
      <c r="H54" s="88"/>
      <c r="I54" s="88"/>
      <c r="J54" s="83"/>
    </row>
    <row r="55" spans="1:10" ht="16.149999999999999" hidden="1" thickBot="1">
      <c r="A55" s="90"/>
      <c r="B55" s="91"/>
      <c r="C55" s="91"/>
      <c r="D55" s="92"/>
      <c r="E55" s="93"/>
      <c r="F55" s="94"/>
      <c r="G55" s="94"/>
      <c r="H55" s="94"/>
      <c r="I55" s="94"/>
      <c r="J55" s="95"/>
    </row>
    <row r="56" spans="1:10" ht="16.149999999999999" hidden="1" thickBot="1">
      <c r="A56" s="70"/>
      <c r="B56" s="71"/>
      <c r="C56" s="71"/>
      <c r="D56" s="71"/>
      <c r="E56" s="71"/>
      <c r="F56" s="72"/>
      <c r="G56" s="71"/>
      <c r="H56" s="71"/>
      <c r="I56" s="71"/>
      <c r="J56" s="126" t="s">
        <v>605</v>
      </c>
    </row>
    <row r="57" spans="1:10" ht="19.149999999999999" hidden="1">
      <c r="A57" s="949" t="s">
        <v>576</v>
      </c>
      <c r="B57" s="950"/>
      <c r="C57" s="950"/>
      <c r="D57" s="950"/>
      <c r="E57" s="950"/>
      <c r="F57" s="950"/>
      <c r="G57" s="950"/>
      <c r="H57" s="950"/>
      <c r="I57" s="950"/>
      <c r="J57" s="951"/>
    </row>
    <row r="58" spans="1:10" ht="16.899999999999999" hidden="1">
      <c r="A58" s="944" t="s">
        <v>577</v>
      </c>
      <c r="B58" s="945"/>
      <c r="C58" s="945"/>
      <c r="D58" s="946"/>
      <c r="E58" s="945" t="s">
        <v>578</v>
      </c>
      <c r="F58" s="945"/>
      <c r="G58" s="945"/>
      <c r="H58" s="945"/>
      <c r="I58" s="945"/>
      <c r="J58" s="952"/>
    </row>
    <row r="59" spans="1:10" ht="16.899999999999999" hidden="1">
      <c r="A59" s="73"/>
      <c r="B59" s="74"/>
      <c r="C59" s="74"/>
      <c r="D59" s="75"/>
      <c r="E59" s="76" t="s">
        <v>599</v>
      </c>
      <c r="F59" s="76"/>
      <c r="G59" s="76"/>
      <c r="H59" s="67"/>
      <c r="I59" s="67"/>
      <c r="J59" s="77"/>
    </row>
    <row r="60" spans="1:10" ht="15.75" hidden="1">
      <c r="A60" s="78"/>
      <c r="B60" s="79"/>
      <c r="C60" s="79"/>
      <c r="D60" s="80"/>
      <c r="E60" s="76" t="s">
        <v>600</v>
      </c>
      <c r="F60" s="82"/>
      <c r="G60" s="82"/>
      <c r="H60" s="82"/>
      <c r="I60" s="82"/>
      <c r="J60" s="83"/>
    </row>
    <row r="61" spans="1:10" ht="15.75" hidden="1">
      <c r="A61" s="78"/>
      <c r="B61" s="79"/>
      <c r="C61" s="79"/>
      <c r="D61" s="80"/>
      <c r="E61" s="76" t="s">
        <v>601</v>
      </c>
      <c r="F61" s="84"/>
      <c r="G61" s="79"/>
      <c r="H61" s="79"/>
      <c r="I61" s="79"/>
      <c r="J61" s="83"/>
    </row>
    <row r="62" spans="1:10" ht="15.75" hidden="1">
      <c r="A62" s="78"/>
      <c r="B62" s="79"/>
      <c r="C62" s="79"/>
      <c r="D62" s="80"/>
      <c r="E62" s="76" t="s">
        <v>602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603</v>
      </c>
      <c r="F63" s="84"/>
      <c r="G63" s="79"/>
      <c r="H63" s="79"/>
      <c r="I63" s="79"/>
      <c r="J63" s="83"/>
    </row>
    <row r="64" spans="1:10" hidden="1">
      <c r="A64" s="78"/>
      <c r="B64" s="79"/>
      <c r="C64" s="79"/>
      <c r="D64" s="80"/>
      <c r="E64" s="69"/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604</v>
      </c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6.899999999999999" hidden="1">
      <c r="A68" s="937"/>
      <c r="B68" s="938"/>
      <c r="C68" s="938"/>
      <c r="D68" s="939"/>
      <c r="E68" s="76"/>
      <c r="F68" s="89"/>
      <c r="G68" s="89"/>
      <c r="H68" s="89"/>
      <c r="I68" s="89"/>
      <c r="J68" s="83"/>
    </row>
    <row r="69" spans="1:10" ht="16.899999999999999" hidden="1">
      <c r="A69" s="73"/>
      <c r="B69" s="74"/>
      <c r="C69" s="74"/>
      <c r="D69" s="85"/>
      <c r="E69" s="96"/>
      <c r="F69" s="89"/>
      <c r="G69" s="89"/>
      <c r="H69" s="89"/>
      <c r="I69" s="89"/>
      <c r="J69" s="83"/>
    </row>
    <row r="70" spans="1:10" ht="15.75" hidden="1">
      <c r="A70" s="78"/>
      <c r="B70" s="79"/>
      <c r="C70" s="79"/>
      <c r="D70" s="80"/>
      <c r="E70" s="69"/>
      <c r="F70" s="88"/>
      <c r="G70" s="88"/>
      <c r="H70" s="88"/>
      <c r="I70" s="88"/>
      <c r="J70" s="83"/>
    </row>
    <row r="71" spans="1:10" ht="16.149999999999999" hidden="1" thickBot="1">
      <c r="A71" s="90"/>
      <c r="B71" s="91"/>
      <c r="C71" s="91"/>
      <c r="D71" s="92"/>
      <c r="E71" s="93"/>
      <c r="F71" s="94"/>
      <c r="G71" s="94"/>
      <c r="H71" s="94"/>
      <c r="I71" s="94"/>
      <c r="J71" s="95"/>
    </row>
    <row r="72" spans="1:10" ht="16.149999999999999" hidden="1" thickBot="1">
      <c r="A72" s="70"/>
      <c r="B72" s="71"/>
      <c r="C72" s="71"/>
      <c r="D72" s="71"/>
      <c r="E72" s="71"/>
      <c r="F72" s="72"/>
      <c r="G72" s="71"/>
      <c r="H72" s="71"/>
      <c r="I72" s="71"/>
      <c r="J72" s="126" t="s">
        <v>605</v>
      </c>
    </row>
  </sheetData>
  <mergeCells count="30">
    <mergeCell ref="B20:B23"/>
    <mergeCell ref="A1:J1"/>
    <mergeCell ref="B2:J2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I12:I13"/>
    <mergeCell ref="J12:J13"/>
    <mergeCell ref="B14:B16"/>
    <mergeCell ref="B17:B19"/>
    <mergeCell ref="C24:D24"/>
    <mergeCell ref="F24:H24"/>
    <mergeCell ref="F25:H25"/>
    <mergeCell ref="A27:J27"/>
    <mergeCell ref="A28:D28"/>
    <mergeCell ref="E28:J28"/>
    <mergeCell ref="A68:D68"/>
    <mergeCell ref="A38:D38"/>
    <mergeCell ref="A40:D40"/>
    <mergeCell ref="A51:D51"/>
    <mergeCell ref="A53:D53"/>
    <mergeCell ref="A57:J57"/>
    <mergeCell ref="A58:D58"/>
    <mergeCell ref="E58:J58"/>
  </mergeCells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855AE3-A156-41C3-AB97-2675551D437F}">
  <sheetPr>
    <tabColor theme="3" tint="0.59999389629810485"/>
  </sheetPr>
  <dimension ref="A1:J73"/>
  <sheetViews>
    <sheetView showGridLines="0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9" max="9" width="9.398437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333" t="s">
        <v>1124</v>
      </c>
      <c r="C2" s="334"/>
      <c r="D2" s="333"/>
      <c r="E2" s="333"/>
      <c r="F2" s="335"/>
      <c r="G2" s="333"/>
      <c r="H2" s="333"/>
      <c r="I2" s="333"/>
      <c r="J2" s="336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631</v>
      </c>
      <c r="D14" s="130" t="str">
        <f>IFERROR(VLOOKUP(C14,MasterSheet!$B$6:$N$150,2,),"n/a")</f>
        <v>신선육 (1.3kg)</v>
      </c>
      <c r="E14" s="130" t="str">
        <f>IFERROR(VLOOKUP(C14,MasterSheet!$B$6:$N$150,3,),"n/a")</f>
        <v>Injected Whole Chicken (1.25kg)</v>
      </c>
      <c r="F14" s="176">
        <v>100</v>
      </c>
      <c r="G14" s="131" t="str">
        <f>IFERROR(VLOOKUP(C14,MasterSheet!B6:N150,10,),"N/a")</f>
        <v>g</v>
      </c>
      <c r="H14" s="323">
        <f>IFERROR(VLOOKUP(C14,MasterSheet!$B$6:$N$150,11,),"N/a")</f>
        <v>34.314223999999996</v>
      </c>
      <c r="I14" s="323">
        <f>IFERROR(F14*H14,"-")</f>
        <v>3431.4223999999995</v>
      </c>
      <c r="J14" s="166"/>
    </row>
    <row r="15" spans="1:10" ht="16.5" customHeight="1">
      <c r="A15" s="967"/>
      <c r="B15" s="973"/>
      <c r="C15" s="175" t="s">
        <v>757</v>
      </c>
      <c r="D15" s="130" t="str">
        <f>IFERROR(VLOOKUP(C15,MasterSheet!$B$6:$N$150,2,),"n/a")</f>
        <v>올리브치킨용마리네이드</v>
      </c>
      <c r="E15" s="130" t="str">
        <f>IFERROR(VLOOKUP(C15,MasterSheet!$B$6:$N$150,3,),"n/a")</f>
        <v xml:space="preserve">Marinade Powder Mix </v>
      </c>
      <c r="F15" s="243">
        <f>F14*0.012</f>
        <v>1.2</v>
      </c>
      <c r="G15" s="131" t="str">
        <f>IFERROR(VLOOKUP(C15,MasterSheet!B7:N151,10,),"N/a")</f>
        <v>g</v>
      </c>
      <c r="H15" s="323">
        <f>IFERROR(VLOOKUP(C15,MasterSheet!$B$6:$N$150,11,),"N/a")</f>
        <v>117.51275510204081</v>
      </c>
      <c r="I15" s="323">
        <f>IFERROR(F15*H15,"-")</f>
        <v>141.01530612244898</v>
      </c>
      <c r="J15" s="167" t="s">
        <v>787</v>
      </c>
    </row>
    <row r="16" spans="1:10" ht="16.899999999999999">
      <c r="A16" s="967"/>
      <c r="B16" s="973"/>
      <c r="C16" s="175" t="s">
        <v>4</v>
      </c>
      <c r="D16" s="130" t="str">
        <f>IFERROR(VLOOKUP(C16,MasterSheet!$B$6:$N$150,2,),"n/a")</f>
        <v>올리브치킨용배터믹스</v>
      </c>
      <c r="E16" s="130" t="str">
        <f>IFERROR(VLOOKUP(C16,MasterSheet!$B$6:$N$150,3,),"n/a")</f>
        <v>Battering Powder Mix</v>
      </c>
      <c r="F16" s="243">
        <f>F14*0.175</f>
        <v>17.5</v>
      </c>
      <c r="G16" s="131" t="str">
        <f>IFERROR(VLOOKUP(C16,MasterSheet!B6:N152,10,),"N/a")</f>
        <v>g</v>
      </c>
      <c r="H16" s="323">
        <f>IFERROR(VLOOKUP(C16,MasterSheet!$B$6:$N$150,11,),"N/a")</f>
        <v>81.617647058823536</v>
      </c>
      <c r="I16" s="323">
        <f>IFERROR(F16*H16,"-")</f>
        <v>1428.3088235294119</v>
      </c>
      <c r="J16" s="167" t="s">
        <v>1094</v>
      </c>
    </row>
    <row r="17" spans="1:10" ht="16.899999999999999">
      <c r="A17" s="967"/>
      <c r="B17" s="973"/>
      <c r="C17" s="175" t="s">
        <v>999</v>
      </c>
      <c r="D17" s="130" t="str">
        <f>IFERROR(VLOOKUP(C17,MasterSheet!$B$6:$N$150,2,),"n/a")</f>
        <v>팜유</v>
      </c>
      <c r="E17" s="130" t="str">
        <f>IFERROR(VLOOKUP(C17,MasterSheet!$B$6:$N$150,3,),"n/a")</f>
        <v>Palm Oil</v>
      </c>
      <c r="F17" s="243">
        <f>F14*0.1</f>
        <v>10</v>
      </c>
      <c r="G17" s="131" t="str">
        <f>IFERROR(VLOOKUP(C17,MasterSheet!B9:N153,10,),"N/a")</f>
        <v>g</v>
      </c>
      <c r="H17" s="323">
        <f>IFERROR(VLOOKUP(C17,MasterSheet!$B$6:$N$150,11,),"N/a")</f>
        <v>25.580404040404041</v>
      </c>
      <c r="I17" s="323">
        <f>IFERROR(F17*H17,"-")</f>
        <v>255.80404040404039</v>
      </c>
      <c r="J17" s="167" t="s">
        <v>1290</v>
      </c>
    </row>
    <row r="18" spans="1:10" ht="28.5">
      <c r="A18" s="967"/>
      <c r="B18" s="974" t="s">
        <v>622</v>
      </c>
      <c r="C18" s="175" t="s">
        <v>567</v>
      </c>
      <c r="D18" s="140" t="str">
        <f>VLOOKUP(C18,CK!$B$8:$L$87,3,)</f>
        <v>올리브배터믹스솔루션</v>
      </c>
      <c r="E18" s="140" t="str">
        <f>VLOOKUP(C18,CK!$B$8:$L$87,4,)</f>
        <v>Battering Powder Mix Solution(White)</v>
      </c>
      <c r="F18" s="328">
        <f>F14*0.2</f>
        <v>20</v>
      </c>
      <c r="G18" s="141" t="str">
        <f>VLOOKUP(C18,CK!$B$8:$L$87,9,)</f>
        <v>g</v>
      </c>
      <c r="H18" s="324">
        <f>VLOOKUP(C18,CK!$B$8:$L$87,10,)</f>
        <v>30.23</v>
      </c>
      <c r="I18" s="324">
        <f>IFERROR(F18*H18,"-")</f>
        <v>604.6</v>
      </c>
      <c r="J18" s="170" t="s">
        <v>786</v>
      </c>
    </row>
    <row r="19" spans="1:10" ht="16.899999999999999">
      <c r="A19" s="967"/>
      <c r="B19" s="974"/>
      <c r="C19" s="175"/>
      <c r="D19" s="140"/>
      <c r="E19" s="140"/>
      <c r="F19" s="176"/>
      <c r="G19" s="141"/>
      <c r="H19" s="324"/>
      <c r="I19" s="324"/>
      <c r="J19" s="170"/>
    </row>
    <row r="20" spans="1:10" ht="16.899999999999999">
      <c r="A20" s="967"/>
      <c r="B20" s="974"/>
      <c r="C20" s="175"/>
      <c r="D20" s="140"/>
      <c r="E20" s="140"/>
      <c r="F20" s="176"/>
      <c r="G20" s="141"/>
      <c r="H20" s="324"/>
      <c r="I20" s="324"/>
      <c r="J20" s="170"/>
    </row>
    <row r="21" spans="1:10" ht="16.899999999999999">
      <c r="A21" s="967"/>
      <c r="B21" s="975" t="s">
        <v>623</v>
      </c>
      <c r="C21" s="175" t="s">
        <v>1097</v>
      </c>
      <c r="D21" s="145" t="str">
        <f>IFERROR(VLOOKUP(C21,MasterSheet!$B$6:$N$342,2,),"n/a")</f>
        <v>콤보 패키지</v>
      </c>
      <c r="E21" s="145" t="str">
        <f>IFERROR(VLOOKUP(C21,MasterSheet!$B$6:$N$342,3,),"n/a")</f>
        <v>Combo Package</v>
      </c>
      <c r="F21" s="239">
        <v>1</v>
      </c>
      <c r="G21" s="147" t="str">
        <f>IFERROR(VLOOKUP(C21,MasterSheet!$B$6:$N$342,10,),"n/a")</f>
        <v>ea</v>
      </c>
      <c r="H21" s="322">
        <f>IFERROR(VLOOKUP(C21,MasterSheet!$B$6:$N$342,11,),"n/a")</f>
        <v>1204</v>
      </c>
      <c r="I21" s="322">
        <f>IFERROR(F21*H21,"-")</f>
        <v>1204</v>
      </c>
      <c r="J21" s="171"/>
    </row>
    <row r="22" spans="1:10" ht="28.5">
      <c r="A22" s="967"/>
      <c r="B22" s="976"/>
      <c r="C22" s="175" t="s">
        <v>1150</v>
      </c>
      <c r="D22" s="145" t="str">
        <f>IFERROR(VLOOKUP(C22,MasterSheet!$B$6:$N$342,2,),"n/a")</f>
        <v>유산지</v>
      </c>
      <c r="E22" s="145" t="str">
        <f>IFERROR(VLOOKUP(C22,MasterSheet!$B$6:$N$342,3,),"n/a")</f>
        <v>PARCHMENT PAPER / WRAPPING RICE</v>
      </c>
      <c r="F22" s="239">
        <v>1</v>
      </c>
      <c r="G22" s="147" t="str">
        <f>IFERROR(VLOOKUP(C22,MasterSheet!$B$6:$N$342,10,),"n/a")</f>
        <v>ea</v>
      </c>
      <c r="H22" s="322">
        <f>IFERROR(VLOOKUP(C22,MasterSheet!$B$6:$N$342,11,),"n/a")</f>
        <v>216.45</v>
      </c>
      <c r="I22" s="322">
        <f>IFERROR(F22*H22,"-")</f>
        <v>216.45</v>
      </c>
      <c r="J22" s="171"/>
    </row>
    <row r="23" spans="1:10" ht="16.899999999999999">
      <c r="A23" s="967"/>
      <c r="B23" s="976"/>
      <c r="C23" s="175"/>
      <c r="D23" s="149"/>
      <c r="E23" s="149"/>
      <c r="F23" s="176"/>
      <c r="G23" s="147"/>
      <c r="H23" s="325"/>
      <c r="I23" s="325"/>
      <c r="J23" s="171"/>
    </row>
    <row r="24" spans="1:10" ht="17.25" thickBot="1">
      <c r="A24" s="968"/>
      <c r="B24" s="977"/>
      <c r="C24" s="241"/>
      <c r="D24" s="155"/>
      <c r="E24" s="154"/>
      <c r="F24" s="242"/>
      <c r="G24" s="152"/>
      <c r="H24" s="342"/>
      <c r="I24" s="342"/>
      <c r="J24" s="172"/>
    </row>
    <row r="25" spans="1:10" ht="17.25" thickBot="1">
      <c r="A25" s="156"/>
      <c r="B25" s="157" t="s">
        <v>614</v>
      </c>
      <c r="C25" s="935" t="s">
        <v>624</v>
      </c>
      <c r="D25" s="935"/>
      <c r="E25" s="339">
        <f>SUM(I14:I20)</f>
        <v>5861.150570055901</v>
      </c>
      <c r="F25" s="936" t="s">
        <v>625</v>
      </c>
      <c r="G25" s="936"/>
      <c r="H25" s="936"/>
      <c r="I25" s="341">
        <f>SUM(I14:I24)</f>
        <v>7281.6005700559008</v>
      </c>
      <c r="J25" s="330" t="s">
        <v>790</v>
      </c>
    </row>
    <row r="26" spans="1:10" ht="17.25" thickBot="1">
      <c r="A26" s="156"/>
      <c r="B26" s="157"/>
      <c r="C26" s="158"/>
      <c r="D26" s="159"/>
      <c r="E26" s="159"/>
      <c r="F26" s="940" t="s">
        <v>789</v>
      </c>
      <c r="G26" s="940"/>
      <c r="H26" s="940"/>
      <c r="I26" s="237" t="e">
        <f>INDEX(COSTING!$D$1:$D$943,MATCH($B$2,COSTING!$C$1:$C$943,0))</f>
        <v>#N/A</v>
      </c>
      <c r="J26" s="331" t="str">
        <f>IFERROR((I25/I26),"-")</f>
        <v>-</v>
      </c>
    </row>
    <row r="27" spans="1:10" ht="16.149999999999999" thickBot="1">
      <c r="A27" s="70"/>
      <c r="B27" s="97"/>
      <c r="C27" s="97"/>
      <c r="D27" s="97"/>
      <c r="E27" s="97"/>
      <c r="F27" s="98"/>
      <c r="G27" s="97"/>
      <c r="H27" s="97"/>
      <c r="I27" s="97"/>
      <c r="J27" s="127" t="s">
        <v>605</v>
      </c>
    </row>
    <row r="28" spans="1:10" ht="19.149999999999999" hidden="1">
      <c r="A28" s="941" t="s">
        <v>576</v>
      </c>
      <c r="B28" s="942"/>
      <c r="C28" s="942"/>
      <c r="D28" s="942"/>
      <c r="E28" s="942"/>
      <c r="F28" s="942"/>
      <c r="G28" s="942"/>
      <c r="H28" s="942"/>
      <c r="I28" s="942"/>
      <c r="J28" s="943"/>
    </row>
    <row r="29" spans="1:10" ht="16.899999999999999" hidden="1">
      <c r="A29" s="944" t="s">
        <v>577</v>
      </c>
      <c r="B29" s="945"/>
      <c r="C29" s="945"/>
      <c r="D29" s="946"/>
      <c r="E29" s="947" t="s">
        <v>578</v>
      </c>
      <c r="F29" s="947"/>
      <c r="G29" s="947"/>
      <c r="H29" s="947"/>
      <c r="I29" s="947"/>
      <c r="J29" s="948"/>
    </row>
    <row r="30" spans="1:10" ht="16.899999999999999" hidden="1">
      <c r="A30" s="73"/>
      <c r="B30" s="74"/>
      <c r="C30" s="74"/>
      <c r="D30" s="75"/>
      <c r="E30" s="76" t="s">
        <v>579</v>
      </c>
      <c r="F30" s="76"/>
      <c r="G30" s="67"/>
      <c r="H30" s="67"/>
      <c r="I30" s="67"/>
      <c r="J30" s="77"/>
    </row>
    <row r="31" spans="1:10" ht="15.75" hidden="1">
      <c r="A31" s="78"/>
      <c r="B31" s="79"/>
      <c r="C31" s="79"/>
      <c r="D31" s="80"/>
      <c r="E31" s="81" t="s">
        <v>580</v>
      </c>
      <c r="F31" s="82"/>
      <c r="G31" s="82"/>
      <c r="H31" s="82"/>
      <c r="I31" s="82"/>
      <c r="J31" s="83"/>
    </row>
    <row r="32" spans="1:10" ht="15.75" hidden="1">
      <c r="A32" s="78"/>
      <c r="B32" s="79"/>
      <c r="C32" s="79"/>
      <c r="D32" s="80"/>
      <c r="E32" s="76"/>
      <c r="F32" s="84"/>
      <c r="G32" s="79"/>
      <c r="H32" s="79"/>
      <c r="I32" s="79"/>
      <c r="J32" s="83"/>
    </row>
    <row r="33" spans="1:10" ht="15.75" hidden="1">
      <c r="A33" s="78"/>
      <c r="B33" s="79"/>
      <c r="C33" s="79"/>
      <c r="D33" s="80"/>
      <c r="E33" s="76" t="s">
        <v>581</v>
      </c>
      <c r="F33" s="82"/>
      <c r="G33" s="82"/>
      <c r="H33" s="82"/>
      <c r="I33" s="82"/>
      <c r="J33" s="83"/>
    </row>
    <row r="34" spans="1:10" ht="15.75" hidden="1">
      <c r="A34" s="78"/>
      <c r="B34" s="79"/>
      <c r="C34" s="79"/>
      <c r="D34" s="80"/>
      <c r="E34" s="76" t="s">
        <v>582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 t="s">
        <v>583</v>
      </c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/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584</v>
      </c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 t="s">
        <v>585</v>
      </c>
      <c r="F38" s="84"/>
      <c r="G38" s="79"/>
      <c r="H38" s="79"/>
      <c r="I38" s="79"/>
      <c r="J38" s="83"/>
    </row>
    <row r="39" spans="1:10" ht="16.899999999999999" hidden="1">
      <c r="A39" s="937"/>
      <c r="B39" s="938"/>
      <c r="C39" s="938"/>
      <c r="D39" s="939"/>
      <c r="E39" s="76" t="s">
        <v>586</v>
      </c>
      <c r="F39" s="86"/>
      <c r="G39" s="79"/>
      <c r="H39" s="79"/>
      <c r="I39" s="79"/>
      <c r="J39" s="83"/>
    </row>
    <row r="40" spans="1:10" ht="16.899999999999999" hidden="1">
      <c r="A40" s="73"/>
      <c r="B40" s="74"/>
      <c r="C40" s="74"/>
      <c r="D40" s="85"/>
      <c r="E40" s="76" t="s">
        <v>587</v>
      </c>
      <c r="F40" s="86"/>
      <c r="G40" s="79"/>
      <c r="H40" s="79"/>
      <c r="I40" s="79"/>
      <c r="J40" s="83"/>
    </row>
    <row r="41" spans="1:10" ht="16.899999999999999" hidden="1">
      <c r="A41" s="937"/>
      <c r="B41" s="938"/>
      <c r="C41" s="938"/>
      <c r="D41" s="939"/>
      <c r="E41" s="76" t="s">
        <v>588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589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76" t="s">
        <v>590</v>
      </c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88"/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76" t="s">
        <v>591</v>
      </c>
      <c r="F45" s="84"/>
      <c r="G45" s="79"/>
      <c r="H45" s="79"/>
      <c r="I45" s="79"/>
      <c r="J45" s="87"/>
    </row>
    <row r="46" spans="1:10" ht="16.899999999999999" hidden="1">
      <c r="A46" s="78"/>
      <c r="B46" s="79"/>
      <c r="C46" s="79"/>
      <c r="D46" s="80"/>
      <c r="E46" s="76" t="s">
        <v>592</v>
      </c>
      <c r="F46" s="84"/>
      <c r="G46" s="79"/>
      <c r="H46" s="79"/>
      <c r="I46" s="79"/>
      <c r="J46" s="87"/>
    </row>
    <row r="47" spans="1:10" hidden="1">
      <c r="A47" s="78"/>
      <c r="B47" s="79"/>
      <c r="C47" s="79"/>
      <c r="D47" s="80"/>
      <c r="E47" s="69"/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593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594</v>
      </c>
      <c r="F49" s="84"/>
      <c r="G49" s="79"/>
      <c r="H49" s="79"/>
      <c r="I49" s="79"/>
      <c r="J49" s="83"/>
    </row>
    <row r="50" spans="1:10" ht="15.75" hidden="1">
      <c r="A50" s="78"/>
      <c r="B50" s="79"/>
      <c r="C50" s="79"/>
      <c r="D50" s="80"/>
      <c r="E50" s="76" t="s">
        <v>595</v>
      </c>
      <c r="F50" s="88"/>
      <c r="G50" s="88"/>
      <c r="H50" s="88"/>
      <c r="I50" s="88"/>
      <c r="J50" s="83"/>
    </row>
    <row r="51" spans="1:10" ht="15.75" hidden="1">
      <c r="A51" s="78"/>
      <c r="B51" s="79"/>
      <c r="C51" s="79"/>
      <c r="D51" s="80"/>
      <c r="E51" s="76" t="s">
        <v>596</v>
      </c>
      <c r="F51" s="88"/>
      <c r="G51" s="88"/>
      <c r="H51" s="88"/>
      <c r="I51" s="88"/>
      <c r="J51" s="83"/>
    </row>
    <row r="52" spans="1:10" ht="16.899999999999999" hidden="1">
      <c r="A52" s="937"/>
      <c r="B52" s="938"/>
      <c r="C52" s="938"/>
      <c r="D52" s="939"/>
      <c r="E52" s="76" t="s">
        <v>597</v>
      </c>
      <c r="F52" s="89"/>
      <c r="G52" s="89"/>
      <c r="H52" s="89"/>
      <c r="I52" s="89"/>
      <c r="J52" s="83"/>
    </row>
    <row r="53" spans="1:10" ht="16.899999999999999" hidden="1">
      <c r="A53" s="73"/>
      <c r="B53" s="74"/>
      <c r="C53" s="74"/>
      <c r="D53" s="85"/>
      <c r="E53" s="76" t="s">
        <v>598</v>
      </c>
      <c r="F53" s="89"/>
      <c r="G53" s="89"/>
      <c r="H53" s="89"/>
      <c r="I53" s="89"/>
      <c r="J53" s="83"/>
    </row>
    <row r="54" spans="1:10" ht="16.899999999999999" hidden="1">
      <c r="A54" s="937"/>
      <c r="B54" s="938"/>
      <c r="C54" s="938"/>
      <c r="D54" s="939"/>
      <c r="E54" s="69"/>
      <c r="F54" s="89"/>
      <c r="G54" s="89"/>
      <c r="H54" s="89"/>
      <c r="I54" s="89"/>
      <c r="J54" s="83"/>
    </row>
    <row r="55" spans="1:10" ht="15.75" hidden="1">
      <c r="A55" s="78"/>
      <c r="B55" s="79"/>
      <c r="C55" s="79"/>
      <c r="D55" s="80"/>
      <c r="E55" s="69"/>
      <c r="F55" s="88"/>
      <c r="G55" s="88"/>
      <c r="H55" s="88"/>
      <c r="I55" s="88"/>
      <c r="J55" s="83"/>
    </row>
    <row r="56" spans="1:10" ht="16.149999999999999" hidden="1" thickBot="1">
      <c r="A56" s="90"/>
      <c r="B56" s="91"/>
      <c r="C56" s="91"/>
      <c r="D56" s="92"/>
      <c r="E56" s="93"/>
      <c r="F56" s="94"/>
      <c r="G56" s="94"/>
      <c r="H56" s="94"/>
      <c r="I56" s="94"/>
      <c r="J56" s="95"/>
    </row>
    <row r="57" spans="1:10" ht="16.149999999999999" hidden="1" thickBot="1">
      <c r="A57" s="70"/>
      <c r="B57" s="71"/>
      <c r="C57" s="71"/>
      <c r="D57" s="71"/>
      <c r="E57" s="71"/>
      <c r="F57" s="72"/>
      <c r="G57" s="71"/>
      <c r="H57" s="71"/>
      <c r="I57" s="71"/>
      <c r="J57" s="126" t="s">
        <v>605</v>
      </c>
    </row>
    <row r="58" spans="1:10" ht="19.149999999999999" hidden="1">
      <c r="A58" s="949" t="s">
        <v>576</v>
      </c>
      <c r="B58" s="950"/>
      <c r="C58" s="950"/>
      <c r="D58" s="950"/>
      <c r="E58" s="950"/>
      <c r="F58" s="950"/>
      <c r="G58" s="950"/>
      <c r="H58" s="950"/>
      <c r="I58" s="950"/>
      <c r="J58" s="951"/>
    </row>
    <row r="59" spans="1:10" ht="16.899999999999999" hidden="1">
      <c r="A59" s="944" t="s">
        <v>577</v>
      </c>
      <c r="B59" s="945"/>
      <c r="C59" s="945"/>
      <c r="D59" s="946"/>
      <c r="E59" s="945" t="s">
        <v>578</v>
      </c>
      <c r="F59" s="945"/>
      <c r="G59" s="945"/>
      <c r="H59" s="945"/>
      <c r="I59" s="945"/>
      <c r="J59" s="952"/>
    </row>
    <row r="60" spans="1:10" ht="16.899999999999999" hidden="1">
      <c r="A60" s="73"/>
      <c r="B60" s="74"/>
      <c r="C60" s="74"/>
      <c r="D60" s="75"/>
      <c r="E60" s="76" t="s">
        <v>599</v>
      </c>
      <c r="F60" s="76"/>
      <c r="G60" s="76"/>
      <c r="H60" s="67"/>
      <c r="I60" s="67"/>
      <c r="J60" s="77"/>
    </row>
    <row r="61" spans="1:10" ht="15.75" hidden="1">
      <c r="A61" s="78"/>
      <c r="B61" s="79"/>
      <c r="C61" s="79"/>
      <c r="D61" s="80"/>
      <c r="E61" s="76" t="s">
        <v>600</v>
      </c>
      <c r="F61" s="82"/>
      <c r="G61" s="82"/>
      <c r="H61" s="82"/>
      <c r="I61" s="82"/>
      <c r="J61" s="83"/>
    </row>
    <row r="62" spans="1:10" ht="15.75" hidden="1">
      <c r="A62" s="78"/>
      <c r="B62" s="79"/>
      <c r="C62" s="79"/>
      <c r="D62" s="80"/>
      <c r="E62" s="76" t="s">
        <v>601</v>
      </c>
      <c r="F62" s="84"/>
      <c r="G62" s="79"/>
      <c r="H62" s="79"/>
      <c r="I62" s="79"/>
      <c r="J62" s="83"/>
    </row>
    <row r="63" spans="1:10" ht="15.75" hidden="1">
      <c r="A63" s="78"/>
      <c r="B63" s="79"/>
      <c r="C63" s="79"/>
      <c r="D63" s="80"/>
      <c r="E63" s="76" t="s">
        <v>602</v>
      </c>
      <c r="F63" s="82"/>
      <c r="G63" s="82"/>
      <c r="H63" s="82"/>
      <c r="I63" s="82"/>
      <c r="J63" s="83"/>
    </row>
    <row r="64" spans="1:10" ht="15.75" hidden="1">
      <c r="A64" s="78"/>
      <c r="B64" s="79"/>
      <c r="C64" s="79"/>
      <c r="D64" s="80"/>
      <c r="E64" s="76" t="s">
        <v>603</v>
      </c>
      <c r="F64" s="84"/>
      <c r="G64" s="79"/>
      <c r="H64" s="79"/>
      <c r="I64" s="79"/>
      <c r="J64" s="83"/>
    </row>
    <row r="65" spans="1:10" hidden="1">
      <c r="A65" s="78"/>
      <c r="B65" s="79"/>
      <c r="C65" s="79"/>
      <c r="D65" s="80"/>
      <c r="E65" s="69"/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 t="s">
        <v>604</v>
      </c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5.75" hidden="1">
      <c r="A68" s="78"/>
      <c r="B68" s="79"/>
      <c r="C68" s="79"/>
      <c r="D68" s="80"/>
      <c r="E68" s="76"/>
      <c r="F68" s="84"/>
      <c r="G68" s="79"/>
      <c r="H68" s="79"/>
      <c r="I68" s="79"/>
      <c r="J68" s="83"/>
    </row>
    <row r="69" spans="1:10" ht="16.899999999999999" hidden="1">
      <c r="A69" s="937"/>
      <c r="B69" s="938"/>
      <c r="C69" s="938"/>
      <c r="D69" s="939"/>
      <c r="E69" s="76"/>
      <c r="F69" s="89"/>
      <c r="G69" s="89"/>
      <c r="H69" s="89"/>
      <c r="I69" s="89"/>
      <c r="J69" s="83"/>
    </row>
    <row r="70" spans="1:10" ht="16.899999999999999" hidden="1">
      <c r="A70" s="73"/>
      <c r="B70" s="74"/>
      <c r="C70" s="74"/>
      <c r="D70" s="85"/>
      <c r="E70" s="96"/>
      <c r="F70" s="89"/>
      <c r="G70" s="89"/>
      <c r="H70" s="89"/>
      <c r="I70" s="89"/>
      <c r="J70" s="83"/>
    </row>
    <row r="71" spans="1:10" ht="15.75" hidden="1">
      <c r="A71" s="78"/>
      <c r="B71" s="79"/>
      <c r="C71" s="79"/>
      <c r="D71" s="80"/>
      <c r="E71" s="69"/>
      <c r="F71" s="88"/>
      <c r="G71" s="88"/>
      <c r="H71" s="88"/>
      <c r="I71" s="88"/>
      <c r="J71" s="83"/>
    </row>
    <row r="72" spans="1:10" ht="16.149999999999999" hidden="1" thickBot="1">
      <c r="A72" s="90"/>
      <c r="B72" s="91"/>
      <c r="C72" s="91"/>
      <c r="D72" s="92"/>
      <c r="E72" s="93"/>
      <c r="F72" s="94"/>
      <c r="G72" s="94"/>
      <c r="H72" s="94"/>
      <c r="I72" s="94"/>
      <c r="J72" s="95"/>
    </row>
    <row r="73" spans="1:10" ht="16.149999999999999" hidden="1" thickBot="1">
      <c r="A73" s="70"/>
      <c r="B73" s="71"/>
      <c r="C73" s="71"/>
      <c r="D73" s="71"/>
      <c r="E73" s="71"/>
      <c r="F73" s="72"/>
      <c r="G73" s="71"/>
      <c r="H73" s="71"/>
      <c r="I73" s="71"/>
      <c r="J73" s="126" t="s">
        <v>605</v>
      </c>
    </row>
  </sheetData>
  <mergeCells count="29">
    <mergeCell ref="A1:J1"/>
    <mergeCell ref="A3:A11"/>
    <mergeCell ref="B3:J11"/>
    <mergeCell ref="A12:A24"/>
    <mergeCell ref="B12:B13"/>
    <mergeCell ref="C12:C13"/>
    <mergeCell ref="D12:E12"/>
    <mergeCell ref="F12:F13"/>
    <mergeCell ref="G12:G13"/>
    <mergeCell ref="H12:H13"/>
    <mergeCell ref="I12:I13"/>
    <mergeCell ref="J12:J13"/>
    <mergeCell ref="B14:B17"/>
    <mergeCell ref="B18:B20"/>
    <mergeCell ref="B21:B24"/>
    <mergeCell ref="C25:D25"/>
    <mergeCell ref="F25:H25"/>
    <mergeCell ref="A69:D69"/>
    <mergeCell ref="F26:H26"/>
    <mergeCell ref="A28:J28"/>
    <mergeCell ref="A29:D29"/>
    <mergeCell ref="E29:J29"/>
    <mergeCell ref="A39:D39"/>
    <mergeCell ref="A41:D41"/>
    <mergeCell ref="A52:D52"/>
    <mergeCell ref="A54:D54"/>
    <mergeCell ref="A58:J58"/>
    <mergeCell ref="A59:D59"/>
    <mergeCell ref="E59:J59"/>
  </mergeCells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57F119-44D7-4368-BC02-8FFF0970F6E9}">
  <sheetPr>
    <tabColor theme="1"/>
  </sheetPr>
  <dimension ref="A2:R345"/>
  <sheetViews>
    <sheetView showGridLines="0" zoomScale="70" zoomScaleNormal="70" workbookViewId="0">
      <pane xSplit="5" topLeftCell="H1" activePane="topRight" state="frozen"/>
      <selection pane="topRight" activeCell="O7" sqref="O7"/>
    </sheetView>
  </sheetViews>
  <sheetFormatPr defaultRowHeight="14.25"/>
  <cols>
    <col min="1" max="1" width="2.19921875" customWidth="1"/>
    <col min="2" max="2" width="11.59765625" style="1" bestFit="1" customWidth="1"/>
    <col min="3" max="3" width="23.46484375" bestFit="1" customWidth="1"/>
    <col min="4" max="4" width="32.19921875" style="1" customWidth="1"/>
    <col min="5" max="5" width="31.19921875" hidden="1" customWidth="1"/>
    <col min="6" max="6" width="12.59765625" style="105" bestFit="1" customWidth="1"/>
    <col min="7" max="7" width="13.06640625" style="196" bestFit="1" customWidth="1"/>
    <col min="8" max="8" width="13.06640625" style="196" customWidth="1"/>
    <col min="9" max="9" width="13.6640625" style="197" customWidth="1"/>
    <col min="10" max="10" width="13.19921875" style="198" bestFit="1" customWidth="1"/>
    <col min="11" max="11" width="9" style="3" customWidth="1"/>
    <col min="12" max="12" width="9" style="1"/>
    <col min="13" max="13" width="15.3984375" style="5" customWidth="1"/>
    <col min="14" max="14" width="14.19921875" style="3" customWidth="1"/>
    <col min="15" max="15" width="10.86328125" style="5" customWidth="1"/>
    <col min="16" max="16" width="20.06640625" bestFit="1" customWidth="1"/>
    <col min="17" max="18" width="13" bestFit="1" customWidth="1"/>
  </cols>
  <sheetData>
    <row r="2" spans="2:16" ht="25.5">
      <c r="B2" s="45" t="s">
        <v>62</v>
      </c>
    </row>
    <row r="3" spans="2:16">
      <c r="I3" s="254" t="s">
        <v>988</v>
      </c>
      <c r="J3" s="255">
        <v>16340</v>
      </c>
      <c r="M3" s="3" t="s">
        <v>174</v>
      </c>
      <c r="O3" s="62"/>
      <c r="P3" t="s">
        <v>189</v>
      </c>
    </row>
    <row r="4" spans="2:16">
      <c r="B4" s="842" t="s">
        <v>0</v>
      </c>
      <c r="C4" s="841" t="s">
        <v>1</v>
      </c>
      <c r="D4" s="841"/>
      <c r="E4" s="841"/>
      <c r="F4" s="841" t="s">
        <v>55</v>
      </c>
      <c r="G4" s="841"/>
      <c r="H4" s="841"/>
      <c r="I4" s="841"/>
      <c r="J4" s="841"/>
      <c r="K4" s="841"/>
      <c r="L4" s="841"/>
      <c r="M4" s="841"/>
      <c r="N4" s="10" t="s">
        <v>56</v>
      </c>
      <c r="O4" s="11"/>
    </row>
    <row r="5" spans="2:16">
      <c r="B5" s="843"/>
      <c r="C5" s="6" t="s">
        <v>2</v>
      </c>
      <c r="D5" s="6" t="s">
        <v>3</v>
      </c>
      <c r="E5" s="6" t="s">
        <v>90</v>
      </c>
      <c r="F5" s="186" t="s">
        <v>47</v>
      </c>
      <c r="G5" s="199" t="s">
        <v>48</v>
      </c>
      <c r="H5" s="199"/>
      <c r="I5" s="200" t="s">
        <v>986</v>
      </c>
      <c r="J5" s="201" t="s">
        <v>175</v>
      </c>
      <c r="K5" s="9" t="s">
        <v>49</v>
      </c>
      <c r="L5" s="6" t="s">
        <v>60</v>
      </c>
      <c r="M5" s="8" t="s">
        <v>1144</v>
      </c>
      <c r="N5" s="9" t="s">
        <v>57</v>
      </c>
      <c r="O5" s="12" t="s">
        <v>58</v>
      </c>
    </row>
    <row r="6" spans="2:16" ht="18.95" customHeight="1">
      <c r="B6" s="51" t="s">
        <v>4</v>
      </c>
      <c r="C6" s="15" t="s">
        <v>5</v>
      </c>
      <c r="D6" s="15" t="s">
        <v>6</v>
      </c>
      <c r="E6" s="26"/>
      <c r="F6" s="26" t="s">
        <v>50</v>
      </c>
      <c r="G6" s="52">
        <v>20000</v>
      </c>
      <c r="H6" s="459">
        <v>1250000</v>
      </c>
      <c r="I6" s="459">
        <v>1387500</v>
      </c>
      <c r="J6" s="376">
        <v>57.6</v>
      </c>
      <c r="K6" s="53">
        <v>0.85</v>
      </c>
      <c r="L6" s="54" t="s">
        <v>61</v>
      </c>
      <c r="M6" s="474">
        <v>69.38</v>
      </c>
      <c r="N6" s="53"/>
      <c r="O6" s="405">
        <f>IFERROR(M6*(1+N6),"-")</f>
        <v>69.38</v>
      </c>
    </row>
    <row r="7" spans="2:16" ht="18.95" customHeight="1">
      <c r="B7" s="51" t="s">
        <v>184</v>
      </c>
      <c r="C7" s="15" t="s">
        <v>8</v>
      </c>
      <c r="D7" s="15" t="s">
        <v>9</v>
      </c>
      <c r="E7" s="26"/>
      <c r="F7" s="26" t="s">
        <v>52</v>
      </c>
      <c r="G7" s="52">
        <v>20000</v>
      </c>
      <c r="H7" s="459">
        <v>1300000</v>
      </c>
      <c r="I7" s="459">
        <v>1443000</v>
      </c>
      <c r="J7" s="376">
        <v>60</v>
      </c>
      <c r="K7" s="53">
        <v>0.98</v>
      </c>
      <c r="L7" s="54" t="s">
        <v>61</v>
      </c>
      <c r="M7" s="474">
        <v>72.150000000000006</v>
      </c>
      <c r="N7" s="53"/>
      <c r="O7" s="405">
        <f t="shared" ref="O7:O20" si="0">IFERROR(M7*(1+N7),"-")</f>
        <v>72.150000000000006</v>
      </c>
    </row>
    <row r="8" spans="2:16" ht="18.95" customHeight="1">
      <c r="B8" s="51" t="s">
        <v>10</v>
      </c>
      <c r="C8" s="15" t="s">
        <v>11</v>
      </c>
      <c r="D8" s="15" t="s">
        <v>12</v>
      </c>
      <c r="E8" s="26"/>
      <c r="F8" s="26" t="s">
        <v>52</v>
      </c>
      <c r="G8" s="52">
        <v>20000</v>
      </c>
      <c r="H8" s="459">
        <v>2075000</v>
      </c>
      <c r="I8" s="459">
        <v>2303250</v>
      </c>
      <c r="J8" s="376">
        <v>96</v>
      </c>
      <c r="K8" s="53">
        <v>0.98</v>
      </c>
      <c r="L8" s="54" t="s">
        <v>61</v>
      </c>
      <c r="M8" s="474">
        <v>115.16</v>
      </c>
      <c r="N8" s="53"/>
      <c r="O8" s="405">
        <f t="shared" si="0"/>
        <v>115.16</v>
      </c>
    </row>
    <row r="9" spans="2:16" ht="18.95" hidden="1" customHeight="1">
      <c r="B9" s="51" t="s">
        <v>13</v>
      </c>
      <c r="C9" s="15" t="s">
        <v>14</v>
      </c>
      <c r="D9" s="15" t="s">
        <v>15</v>
      </c>
      <c r="E9" s="26"/>
      <c r="F9" s="26" t="s">
        <v>52</v>
      </c>
      <c r="G9" s="52">
        <v>20000</v>
      </c>
      <c r="H9" s="187"/>
      <c r="I9" s="187"/>
      <c r="J9" s="376"/>
      <c r="K9" s="53">
        <v>0.98</v>
      </c>
      <c r="L9" s="54" t="s">
        <v>61</v>
      </c>
      <c r="M9" s="375">
        <f t="shared" ref="M9:M20" si="1">IFERROR(I9/G9/K9,"-")</f>
        <v>0</v>
      </c>
      <c r="N9" s="53"/>
      <c r="O9" s="405">
        <f t="shared" si="0"/>
        <v>0</v>
      </c>
    </row>
    <row r="10" spans="2:16" ht="18.75" hidden="1" customHeight="1">
      <c r="B10" s="51" t="s">
        <v>16</v>
      </c>
      <c r="C10" s="15" t="s">
        <v>183</v>
      </c>
      <c r="D10" s="15"/>
      <c r="E10" s="26"/>
      <c r="F10" s="26" t="s">
        <v>50</v>
      </c>
      <c r="G10" s="52">
        <v>20000</v>
      </c>
      <c r="H10" s="187"/>
      <c r="I10" s="187"/>
      <c r="J10" s="376"/>
      <c r="K10" s="53">
        <v>0.98</v>
      </c>
      <c r="L10" s="54" t="s">
        <v>61</v>
      </c>
      <c r="M10" s="375">
        <f t="shared" si="1"/>
        <v>0</v>
      </c>
      <c r="N10" s="53"/>
      <c r="O10" s="405">
        <f t="shared" si="0"/>
        <v>0</v>
      </c>
    </row>
    <row r="11" spans="2:16" ht="18.75" hidden="1" customHeight="1">
      <c r="B11" s="51" t="s">
        <v>19</v>
      </c>
      <c r="C11" s="15" t="s">
        <v>36</v>
      </c>
      <c r="D11" s="15" t="s">
        <v>37</v>
      </c>
      <c r="E11" s="26"/>
      <c r="F11" s="26" t="s">
        <v>53</v>
      </c>
      <c r="G11" s="52">
        <f>500*15</f>
        <v>7500</v>
      </c>
      <c r="H11" s="187"/>
      <c r="I11" s="187"/>
      <c r="J11" s="376"/>
      <c r="K11" s="53">
        <v>0.98</v>
      </c>
      <c r="L11" s="54" t="s">
        <v>61</v>
      </c>
      <c r="M11" s="375">
        <f t="shared" si="1"/>
        <v>0</v>
      </c>
      <c r="N11" s="53"/>
      <c r="O11" s="405">
        <f>IFERROR(M11*(1+N11),"-")</f>
        <v>0</v>
      </c>
    </row>
    <row r="12" spans="2:16" ht="18.95" customHeight="1">
      <c r="B12" s="51" t="s">
        <v>22</v>
      </c>
      <c r="C12" s="15" t="s">
        <v>17</v>
      </c>
      <c r="D12" s="15" t="s">
        <v>18</v>
      </c>
      <c r="E12" s="26"/>
      <c r="F12" s="26" t="s">
        <v>50</v>
      </c>
      <c r="G12" s="52">
        <v>20000</v>
      </c>
      <c r="H12" s="459">
        <v>1135000</v>
      </c>
      <c r="I12" s="459">
        <v>1135000</v>
      </c>
      <c r="J12" s="376">
        <v>52.5</v>
      </c>
      <c r="K12" s="53">
        <v>0.98</v>
      </c>
      <c r="L12" s="54" t="s">
        <v>61</v>
      </c>
      <c r="M12" s="375">
        <v>62.99</v>
      </c>
      <c r="N12" s="53"/>
      <c r="O12" s="405">
        <f t="shared" si="0"/>
        <v>62.99</v>
      </c>
    </row>
    <row r="13" spans="2:16" ht="18.95" hidden="1" customHeight="1">
      <c r="B13" s="51" t="s">
        <v>638</v>
      </c>
      <c r="C13" s="15" t="s">
        <v>20</v>
      </c>
      <c r="D13" s="15" t="s">
        <v>21</v>
      </c>
      <c r="E13" s="26"/>
      <c r="F13" s="26" t="s">
        <v>917</v>
      </c>
      <c r="G13" s="52">
        <v>10800</v>
      </c>
      <c r="H13" s="187"/>
      <c r="I13" s="187"/>
      <c r="J13" s="376">
        <f>I13/$J$3</f>
        <v>0</v>
      </c>
      <c r="K13" s="53">
        <v>0.99</v>
      </c>
      <c r="L13" s="54" t="s">
        <v>61</v>
      </c>
      <c r="M13" s="375">
        <f t="shared" si="1"/>
        <v>0</v>
      </c>
      <c r="N13" s="53"/>
      <c r="O13" s="405">
        <f t="shared" si="0"/>
        <v>0</v>
      </c>
    </row>
    <row r="14" spans="2:16" ht="18.95" hidden="1" customHeight="1">
      <c r="B14" s="51" t="s">
        <v>27</v>
      </c>
      <c r="C14" s="15" t="s">
        <v>23</v>
      </c>
      <c r="D14" s="15" t="s">
        <v>24</v>
      </c>
      <c r="E14" s="26"/>
      <c r="F14" s="26" t="s">
        <v>50</v>
      </c>
      <c r="G14" s="52">
        <v>20000</v>
      </c>
      <c r="H14" s="187"/>
      <c r="I14" s="187"/>
      <c r="J14" s="376"/>
      <c r="K14" s="53">
        <v>0.98</v>
      </c>
      <c r="L14" s="54" t="s">
        <v>61</v>
      </c>
      <c r="M14" s="375">
        <f t="shared" si="1"/>
        <v>0</v>
      </c>
      <c r="N14" s="53"/>
      <c r="O14" s="405">
        <f t="shared" si="0"/>
        <v>0</v>
      </c>
    </row>
    <row r="15" spans="2:16" ht="18.95" hidden="1" customHeight="1">
      <c r="B15" s="51" t="s">
        <v>30</v>
      </c>
      <c r="C15" s="15" t="s">
        <v>25</v>
      </c>
      <c r="D15" s="15" t="s">
        <v>26</v>
      </c>
      <c r="E15" s="26"/>
      <c r="F15" s="26" t="s">
        <v>51</v>
      </c>
      <c r="G15" s="52">
        <v>20000</v>
      </c>
      <c r="H15" s="187"/>
      <c r="I15" s="187"/>
      <c r="J15" s="376"/>
      <c r="K15" s="53">
        <v>0.98</v>
      </c>
      <c r="L15" s="54" t="s">
        <v>61</v>
      </c>
      <c r="M15" s="375">
        <f t="shared" si="1"/>
        <v>0</v>
      </c>
      <c r="N15" s="53"/>
      <c r="O15" s="405">
        <f t="shared" si="0"/>
        <v>0</v>
      </c>
    </row>
    <row r="16" spans="2:16" ht="18.95" hidden="1" customHeight="1">
      <c r="B16" s="51" t="s">
        <v>33</v>
      </c>
      <c r="C16" s="15" t="s">
        <v>28</v>
      </c>
      <c r="D16" s="15" t="s">
        <v>29</v>
      </c>
      <c r="E16" s="26"/>
      <c r="F16" s="26" t="s">
        <v>896</v>
      </c>
      <c r="G16" s="52">
        <v>3750</v>
      </c>
      <c r="H16" s="187"/>
      <c r="I16" s="187"/>
      <c r="J16" s="376">
        <f>I16/$J$3</f>
        <v>0</v>
      </c>
      <c r="K16" s="53">
        <v>0.98</v>
      </c>
      <c r="L16" s="54" t="s">
        <v>61</v>
      </c>
      <c r="M16" s="375">
        <f t="shared" si="1"/>
        <v>0</v>
      </c>
      <c r="N16" s="53"/>
      <c r="O16" s="405">
        <f t="shared" si="0"/>
        <v>0</v>
      </c>
    </row>
    <row r="17" spans="2:18" ht="18.95" customHeight="1" thickBot="1">
      <c r="B17" s="361" t="s">
        <v>690</v>
      </c>
      <c r="C17" s="15" t="s">
        <v>31</v>
      </c>
      <c r="D17" s="28" t="s">
        <v>32</v>
      </c>
      <c r="E17" s="26"/>
      <c r="F17" s="26" t="s">
        <v>1161</v>
      </c>
      <c r="G17" s="52">
        <v>25000</v>
      </c>
      <c r="H17" s="459">
        <v>6500000</v>
      </c>
      <c r="I17" s="459">
        <v>6500000</v>
      </c>
      <c r="J17" s="376">
        <v>300</v>
      </c>
      <c r="K17" s="53">
        <v>0.98</v>
      </c>
      <c r="L17" s="54" t="s">
        <v>61</v>
      </c>
      <c r="M17" s="474">
        <v>288.60000000000002</v>
      </c>
      <c r="N17" s="53"/>
      <c r="O17" s="405">
        <f t="shared" si="0"/>
        <v>288.60000000000002</v>
      </c>
    </row>
    <row r="18" spans="2:18" ht="18.95" hidden="1" customHeight="1" thickBot="1">
      <c r="B18" s="51" t="s">
        <v>38</v>
      </c>
      <c r="C18" s="15" t="s">
        <v>34</v>
      </c>
      <c r="D18" s="28" t="s">
        <v>35</v>
      </c>
      <c r="E18" s="26"/>
      <c r="F18" s="26" t="s">
        <v>54</v>
      </c>
      <c r="G18" s="52">
        <v>20000</v>
      </c>
      <c r="H18" s="52"/>
      <c r="I18" s="188"/>
      <c r="J18" s="377">
        <f>I18/$J$3</f>
        <v>0</v>
      </c>
      <c r="K18" s="58">
        <v>0.98</v>
      </c>
      <c r="L18" s="59" t="s">
        <v>61</v>
      </c>
      <c r="M18" s="392">
        <f t="shared" si="1"/>
        <v>0</v>
      </c>
      <c r="N18" s="58"/>
      <c r="O18" s="406">
        <f t="shared" si="0"/>
        <v>0</v>
      </c>
    </row>
    <row r="19" spans="2:18" ht="18.95" hidden="1" customHeight="1">
      <c r="B19" s="51" t="s">
        <v>41</v>
      </c>
      <c r="C19" s="15" t="s">
        <v>39</v>
      </c>
      <c r="D19" s="15" t="s">
        <v>40</v>
      </c>
      <c r="E19" s="26"/>
      <c r="F19" s="26" t="s">
        <v>50</v>
      </c>
      <c r="G19" s="52">
        <v>20000</v>
      </c>
      <c r="H19" s="52"/>
      <c r="I19" s="187"/>
      <c r="J19" s="376"/>
      <c r="K19" s="53">
        <v>0.98</v>
      </c>
      <c r="L19" s="54" t="s">
        <v>61</v>
      </c>
      <c r="M19" s="375">
        <f t="shared" si="1"/>
        <v>0</v>
      </c>
      <c r="N19" s="53"/>
      <c r="O19" s="405">
        <f t="shared" si="0"/>
        <v>0</v>
      </c>
    </row>
    <row r="20" spans="2:18" ht="18.95" hidden="1" customHeight="1">
      <c r="B20" s="51" t="s">
        <v>44</v>
      </c>
      <c r="C20" s="15" t="s">
        <v>42</v>
      </c>
      <c r="D20" s="15" t="s">
        <v>43</v>
      </c>
      <c r="E20" s="26"/>
      <c r="F20" s="26" t="s">
        <v>916</v>
      </c>
      <c r="G20" s="52">
        <v>9000</v>
      </c>
      <c r="H20" s="52"/>
      <c r="I20" s="187"/>
      <c r="J20" s="376">
        <f>I20/$J$3</f>
        <v>0</v>
      </c>
      <c r="K20" s="53">
        <v>0.98</v>
      </c>
      <c r="L20" s="54" t="s">
        <v>61</v>
      </c>
      <c r="M20" s="375">
        <f t="shared" si="1"/>
        <v>0</v>
      </c>
      <c r="N20" s="53"/>
      <c r="O20" s="405">
        <f t="shared" si="0"/>
        <v>0</v>
      </c>
    </row>
    <row r="21" spans="2:18" ht="18.95" hidden="1" customHeight="1">
      <c r="B21" s="51" t="s">
        <v>45</v>
      </c>
      <c r="C21" s="15"/>
      <c r="D21" s="15"/>
      <c r="E21" s="26"/>
      <c r="F21" s="26"/>
      <c r="G21" s="52"/>
      <c r="H21" s="52"/>
      <c r="I21" s="187"/>
      <c r="J21" s="376"/>
      <c r="K21" s="53"/>
      <c r="L21" s="54"/>
      <c r="M21" s="375"/>
      <c r="N21" s="54"/>
      <c r="O21" s="405"/>
    </row>
    <row r="22" spans="2:18" ht="18.95" hidden="1" customHeight="1">
      <c r="B22" s="51" t="s">
        <v>185</v>
      </c>
      <c r="C22" s="15"/>
      <c r="D22" s="15"/>
      <c r="E22" s="26"/>
      <c r="F22" s="26"/>
      <c r="G22" s="52"/>
      <c r="H22" s="52"/>
      <c r="I22" s="187"/>
      <c r="J22" s="376"/>
      <c r="K22" s="53"/>
      <c r="L22" s="54"/>
      <c r="M22" s="375"/>
      <c r="N22" s="54"/>
      <c r="O22" s="405"/>
    </row>
    <row r="23" spans="2:18" ht="18.95" hidden="1" customHeight="1">
      <c r="B23" s="51" t="s">
        <v>186</v>
      </c>
      <c r="C23" s="15"/>
      <c r="D23" s="15"/>
      <c r="E23" s="26"/>
      <c r="F23" s="26" t="s">
        <v>192</v>
      </c>
      <c r="G23" s="52"/>
      <c r="H23" s="52"/>
      <c r="I23" s="187"/>
      <c r="J23" s="376"/>
      <c r="K23" s="53"/>
      <c r="L23" s="54"/>
      <c r="M23" s="375"/>
      <c r="N23" s="54"/>
      <c r="O23" s="405"/>
    </row>
    <row r="24" spans="2:18" ht="18.95" hidden="1" customHeight="1">
      <c r="B24" s="51" t="s">
        <v>190</v>
      </c>
      <c r="C24" s="15"/>
      <c r="D24" s="15"/>
      <c r="E24" s="26"/>
      <c r="F24" s="26"/>
      <c r="G24" s="52"/>
      <c r="H24" s="52"/>
      <c r="I24" s="187"/>
      <c r="J24" s="376"/>
      <c r="K24" s="53"/>
      <c r="L24" s="54"/>
      <c r="M24" s="375"/>
      <c r="N24" s="54"/>
      <c r="O24" s="405"/>
    </row>
    <row r="25" spans="2:18" ht="18.95" hidden="1" customHeight="1">
      <c r="B25" s="51" t="s">
        <v>191</v>
      </c>
      <c r="C25" s="15"/>
      <c r="D25" s="15"/>
      <c r="E25" s="26"/>
      <c r="F25" s="26"/>
      <c r="G25" s="52"/>
      <c r="H25" s="52"/>
      <c r="I25" s="187"/>
      <c r="J25" s="376"/>
      <c r="K25" s="53"/>
      <c r="L25" s="54"/>
      <c r="M25" s="375"/>
      <c r="N25" s="54"/>
      <c r="O25" s="405"/>
    </row>
    <row r="26" spans="2:18" ht="18.95" hidden="1" customHeight="1" thickBot="1">
      <c r="B26" s="55" t="s">
        <v>729</v>
      </c>
      <c r="C26" s="28" t="s">
        <v>493</v>
      </c>
      <c r="D26" s="28" t="s">
        <v>46</v>
      </c>
      <c r="E26" s="56"/>
      <c r="F26" s="56"/>
      <c r="G26" s="57"/>
      <c r="H26" s="57"/>
      <c r="I26" s="188"/>
      <c r="J26" s="376" t="e">
        <f>I26/$O$3</f>
        <v>#DIV/0!</v>
      </c>
      <c r="K26" s="53"/>
      <c r="L26" s="54" t="s">
        <v>61</v>
      </c>
      <c r="M26" s="375" t="str">
        <f>IFERROR(J26/G26/K26,"-")</f>
        <v>-</v>
      </c>
      <c r="N26" s="54"/>
      <c r="O26" s="405" t="str">
        <f t="shared" ref="O26:O53" si="2">IFERROR(M26*(1+N26),"-")</f>
        <v>-</v>
      </c>
    </row>
    <row r="27" spans="2:18" ht="18.95" hidden="1" customHeight="1" thickTop="1">
      <c r="B27" s="218" t="s">
        <v>741</v>
      </c>
      <c r="C27" s="15" t="s">
        <v>69</v>
      </c>
      <c r="D27" s="15" t="s">
        <v>70</v>
      </c>
      <c r="E27" s="225"/>
      <c r="F27" s="225" t="s">
        <v>166</v>
      </c>
      <c r="G27" s="226">
        <v>10000</v>
      </c>
      <c r="H27" s="226"/>
      <c r="I27" s="227"/>
      <c r="J27" s="376">
        <v>215</v>
      </c>
      <c r="K27" s="367">
        <v>0.96</v>
      </c>
      <c r="L27" s="225" t="s">
        <v>61</v>
      </c>
      <c r="M27" s="375">
        <f>IFERROR(J27/G27/K27,"-")</f>
        <v>2.2395833333333334E-2</v>
      </c>
      <c r="N27" s="368"/>
      <c r="O27" s="405">
        <f t="shared" si="2"/>
        <v>2.2395833333333334E-2</v>
      </c>
    </row>
    <row r="28" spans="2:18" ht="18.75" customHeight="1" thickTop="1">
      <c r="B28" s="364" t="s">
        <v>725</v>
      </c>
      <c r="C28" s="32" t="s">
        <v>89</v>
      </c>
      <c r="D28" s="15" t="s">
        <v>188</v>
      </c>
      <c r="E28" s="225"/>
      <c r="F28" s="363" t="s">
        <v>1243</v>
      </c>
      <c r="G28" s="362">
        <v>10000</v>
      </c>
      <c r="H28" s="460">
        <v>1175000</v>
      </c>
      <c r="I28" s="460">
        <v>1175000</v>
      </c>
      <c r="J28" s="378">
        <v>54</v>
      </c>
      <c r="K28" s="367">
        <v>0.96</v>
      </c>
      <c r="L28" s="225" t="s">
        <v>61</v>
      </c>
      <c r="M28" s="474">
        <v>130.43</v>
      </c>
      <c r="N28" s="368"/>
      <c r="O28" s="407">
        <f t="shared" si="2"/>
        <v>130.43</v>
      </c>
    </row>
    <row r="29" spans="2:18" ht="18.95" customHeight="1">
      <c r="B29" s="218" t="s">
        <v>742</v>
      </c>
      <c r="C29" s="15" t="s">
        <v>79</v>
      </c>
      <c r="D29" s="15" t="s">
        <v>80</v>
      </c>
      <c r="E29" s="225"/>
      <c r="F29" s="225" t="s">
        <v>1243</v>
      </c>
      <c r="G29" s="226">
        <v>10000</v>
      </c>
      <c r="H29" s="461">
        <v>975000</v>
      </c>
      <c r="I29" s="461">
        <v>975000</v>
      </c>
      <c r="J29" s="378">
        <v>44.5</v>
      </c>
      <c r="K29" s="367">
        <v>0.96</v>
      </c>
      <c r="L29" s="225" t="s">
        <v>61</v>
      </c>
      <c r="M29" s="474">
        <v>108.23</v>
      </c>
      <c r="N29" s="368"/>
      <c r="O29" s="407">
        <f t="shared" si="2"/>
        <v>108.23</v>
      </c>
    </row>
    <row r="30" spans="2:18" ht="18.95" hidden="1" customHeight="1">
      <c r="B30" s="218" t="s">
        <v>63</v>
      </c>
      <c r="C30" s="15" t="s">
        <v>176</v>
      </c>
      <c r="D30" s="15" t="s">
        <v>760</v>
      </c>
      <c r="E30" s="225"/>
      <c r="F30" s="225" t="s">
        <v>166</v>
      </c>
      <c r="G30" s="226">
        <v>10000</v>
      </c>
      <c r="H30" s="226"/>
      <c r="I30" s="227"/>
      <c r="J30" s="378">
        <v>378</v>
      </c>
      <c r="K30" s="367">
        <v>0.96</v>
      </c>
      <c r="L30" s="225" t="s">
        <v>61</v>
      </c>
      <c r="M30" s="393">
        <f t="shared" ref="M30:M44" si="3">IFERROR(I30/G30/K30,"-")</f>
        <v>0</v>
      </c>
      <c r="N30" s="368"/>
      <c r="O30" s="407">
        <f t="shared" si="2"/>
        <v>0</v>
      </c>
    </row>
    <row r="31" spans="2:18" ht="18.95" customHeight="1">
      <c r="B31" s="218" t="s">
        <v>64</v>
      </c>
      <c r="C31" s="15" t="s">
        <v>177</v>
      </c>
      <c r="D31" s="15" t="s">
        <v>788</v>
      </c>
      <c r="E31" s="225"/>
      <c r="F31" s="225" t="s">
        <v>167</v>
      </c>
      <c r="G31" s="226">
        <v>12000</v>
      </c>
      <c r="H31" s="461">
        <v>1235000</v>
      </c>
      <c r="I31" s="461">
        <v>1235000</v>
      </c>
      <c r="J31" s="378">
        <v>57</v>
      </c>
      <c r="K31" s="367">
        <v>0.96</v>
      </c>
      <c r="L31" s="225" t="s">
        <v>61</v>
      </c>
      <c r="M31" s="474">
        <v>114.24</v>
      </c>
      <c r="N31" s="368"/>
      <c r="O31" s="407">
        <f t="shared" si="2"/>
        <v>114.24</v>
      </c>
    </row>
    <row r="32" spans="2:18" ht="18.95" hidden="1" customHeight="1">
      <c r="B32" s="218" t="s">
        <v>648</v>
      </c>
      <c r="C32" s="15" t="s">
        <v>71</v>
      </c>
      <c r="D32" s="15" t="s">
        <v>72</v>
      </c>
      <c r="E32" s="225"/>
      <c r="F32" s="225" t="s">
        <v>167</v>
      </c>
      <c r="G32" s="226">
        <v>12000</v>
      </c>
      <c r="H32" s="226"/>
      <c r="I32" s="227"/>
      <c r="J32" s="378"/>
      <c r="K32" s="367">
        <v>0.96</v>
      </c>
      <c r="L32" s="225" t="s">
        <v>61</v>
      </c>
      <c r="M32" s="393">
        <f t="shared" si="3"/>
        <v>0</v>
      </c>
      <c r="N32" s="368"/>
      <c r="O32" s="407">
        <f t="shared" si="2"/>
        <v>0</v>
      </c>
      <c r="Q32" s="2"/>
      <c r="R32" s="27"/>
    </row>
    <row r="33" spans="2:18" ht="18.95" hidden="1" customHeight="1">
      <c r="B33" s="218" t="s">
        <v>65</v>
      </c>
      <c r="C33" s="15" t="s">
        <v>123</v>
      </c>
      <c r="D33" s="15" t="s">
        <v>164</v>
      </c>
      <c r="E33" s="228"/>
      <c r="F33" s="225" t="s">
        <v>167</v>
      </c>
      <c r="G33" s="226">
        <v>12000</v>
      </c>
      <c r="H33" s="226"/>
      <c r="I33" s="227"/>
      <c r="J33" s="378"/>
      <c r="K33" s="367">
        <v>0.96</v>
      </c>
      <c r="L33" s="225" t="s">
        <v>61</v>
      </c>
      <c r="M33" s="393">
        <f t="shared" si="3"/>
        <v>0</v>
      </c>
      <c r="N33" s="368"/>
      <c r="O33" s="407">
        <f t="shared" si="2"/>
        <v>0</v>
      </c>
      <c r="R33" s="27"/>
    </row>
    <row r="34" spans="2:18" ht="18.95" hidden="1" customHeight="1">
      <c r="B34" s="218" t="s">
        <v>66</v>
      </c>
      <c r="C34" s="15" t="s">
        <v>77</v>
      </c>
      <c r="D34" s="15" t="s">
        <v>78</v>
      </c>
      <c r="E34" s="225"/>
      <c r="F34" s="225" t="s">
        <v>166</v>
      </c>
      <c r="G34" s="226">
        <v>10000</v>
      </c>
      <c r="H34" s="226"/>
      <c r="I34" s="227"/>
      <c r="J34" s="378"/>
      <c r="K34" s="367">
        <v>0.96</v>
      </c>
      <c r="L34" s="225" t="s">
        <v>61</v>
      </c>
      <c r="M34" s="393">
        <f t="shared" si="3"/>
        <v>0</v>
      </c>
      <c r="N34" s="368"/>
      <c r="O34" s="407">
        <f t="shared" si="2"/>
        <v>0</v>
      </c>
      <c r="R34" s="27"/>
    </row>
    <row r="35" spans="2:18" ht="18.75" hidden="1" customHeight="1">
      <c r="B35" s="218" t="s">
        <v>640</v>
      </c>
      <c r="C35" s="15" t="s">
        <v>85</v>
      </c>
      <c r="D35" s="15" t="s">
        <v>86</v>
      </c>
      <c r="E35" s="225"/>
      <c r="F35" s="225" t="s">
        <v>166</v>
      </c>
      <c r="G35" s="226">
        <v>10000</v>
      </c>
      <c r="H35" s="226"/>
      <c r="I35" s="227"/>
      <c r="J35" s="378">
        <v>276</v>
      </c>
      <c r="K35" s="367">
        <v>0.96</v>
      </c>
      <c r="L35" s="225" t="s">
        <v>61</v>
      </c>
      <c r="M35" s="393">
        <f t="shared" si="3"/>
        <v>0</v>
      </c>
      <c r="N35" s="368"/>
      <c r="O35" s="407">
        <f t="shared" si="2"/>
        <v>0</v>
      </c>
    </row>
    <row r="36" spans="2:18" ht="18.95" customHeight="1">
      <c r="B36" s="218" t="s">
        <v>664</v>
      </c>
      <c r="C36" s="15" t="s">
        <v>178</v>
      </c>
      <c r="D36" s="15" t="s">
        <v>647</v>
      </c>
      <c r="E36" s="225"/>
      <c r="F36" s="225" t="s">
        <v>167</v>
      </c>
      <c r="G36" s="226">
        <v>12000</v>
      </c>
      <c r="H36" s="460">
        <v>1300000</v>
      </c>
      <c r="I36" s="460">
        <v>1300000</v>
      </c>
      <c r="J36" s="378">
        <v>60.3</v>
      </c>
      <c r="K36" s="367">
        <v>0.96</v>
      </c>
      <c r="L36" s="225" t="s">
        <v>61</v>
      </c>
      <c r="M36" s="474">
        <v>120.25</v>
      </c>
      <c r="N36" s="368"/>
      <c r="O36" s="407">
        <f t="shared" si="2"/>
        <v>120.25</v>
      </c>
    </row>
    <row r="37" spans="2:18" ht="18.95" hidden="1" customHeight="1">
      <c r="B37" s="218" t="s">
        <v>681</v>
      </c>
      <c r="C37" s="15" t="s">
        <v>95</v>
      </c>
      <c r="D37" s="15" t="s">
        <v>96</v>
      </c>
      <c r="E37" s="228"/>
      <c r="F37" s="225" t="s">
        <v>166</v>
      </c>
      <c r="G37" s="226">
        <v>10000</v>
      </c>
      <c r="H37" s="226"/>
      <c r="I37" s="227"/>
      <c r="J37" s="378">
        <v>450</v>
      </c>
      <c r="K37" s="367">
        <v>0.96</v>
      </c>
      <c r="L37" s="225" t="s">
        <v>61</v>
      </c>
      <c r="M37" s="393">
        <f t="shared" si="3"/>
        <v>0</v>
      </c>
      <c r="N37" s="368"/>
      <c r="O37" s="407">
        <f t="shared" si="2"/>
        <v>0</v>
      </c>
    </row>
    <row r="38" spans="2:18" ht="18.95" hidden="1" customHeight="1">
      <c r="B38" s="218" t="s">
        <v>67</v>
      </c>
      <c r="C38" s="15" t="s">
        <v>73</v>
      </c>
      <c r="D38" s="15" t="s">
        <v>74</v>
      </c>
      <c r="E38" s="225"/>
      <c r="F38" s="225" t="s">
        <v>166</v>
      </c>
      <c r="G38" s="226">
        <v>10000</v>
      </c>
      <c r="H38" s="226"/>
      <c r="I38" s="227"/>
      <c r="J38" s="378"/>
      <c r="K38" s="367">
        <v>0.96</v>
      </c>
      <c r="L38" s="225" t="s">
        <v>61</v>
      </c>
      <c r="M38" s="393">
        <f t="shared" si="3"/>
        <v>0</v>
      </c>
      <c r="N38" s="368"/>
      <c r="O38" s="407">
        <f t="shared" si="2"/>
        <v>0</v>
      </c>
    </row>
    <row r="39" spans="2:18" ht="18.95" hidden="1" customHeight="1">
      <c r="B39" s="218" t="s">
        <v>68</v>
      </c>
      <c r="C39" s="15" t="s">
        <v>187</v>
      </c>
      <c r="D39" s="15" t="s">
        <v>791</v>
      </c>
      <c r="E39" s="225"/>
      <c r="F39" s="225" t="s">
        <v>167</v>
      </c>
      <c r="G39" s="226">
        <v>12000</v>
      </c>
      <c r="H39" s="226"/>
      <c r="I39" s="227"/>
      <c r="J39" s="378"/>
      <c r="K39" s="367">
        <v>0.96</v>
      </c>
      <c r="L39" s="225" t="s">
        <v>61</v>
      </c>
      <c r="M39" s="393">
        <f t="shared" si="3"/>
        <v>0</v>
      </c>
      <c r="N39" s="368"/>
      <c r="O39" s="407">
        <f t="shared" si="2"/>
        <v>0</v>
      </c>
    </row>
    <row r="40" spans="2:18" ht="18.95" hidden="1" customHeight="1">
      <c r="B40" s="218" t="s">
        <v>124</v>
      </c>
      <c r="C40" s="15" t="s">
        <v>886</v>
      </c>
      <c r="D40" s="15" t="s">
        <v>887</v>
      </c>
      <c r="E40" s="225"/>
      <c r="F40" s="225" t="s">
        <v>166</v>
      </c>
      <c r="G40" s="226">
        <v>10000</v>
      </c>
      <c r="H40" s="226"/>
      <c r="I40" s="227"/>
      <c r="J40" s="378">
        <v>256</v>
      </c>
      <c r="K40" s="367">
        <v>0.96</v>
      </c>
      <c r="L40" s="225" t="s">
        <v>61</v>
      </c>
      <c r="M40" s="393">
        <f t="shared" si="3"/>
        <v>0</v>
      </c>
      <c r="N40" s="368"/>
      <c r="O40" s="407">
        <f t="shared" si="2"/>
        <v>0</v>
      </c>
    </row>
    <row r="41" spans="2:18" ht="18.95" hidden="1" customHeight="1">
      <c r="B41" s="218" t="s">
        <v>125</v>
      </c>
      <c r="C41" s="15" t="s">
        <v>893</v>
      </c>
      <c r="D41" s="15" t="s">
        <v>894</v>
      </c>
      <c r="E41" s="225"/>
      <c r="F41" s="225" t="s">
        <v>895</v>
      </c>
      <c r="G41" s="226">
        <v>10000</v>
      </c>
      <c r="H41" s="226"/>
      <c r="I41" s="227"/>
      <c r="J41" s="378">
        <v>367</v>
      </c>
      <c r="K41" s="367">
        <v>0.96</v>
      </c>
      <c r="L41" s="225" t="s">
        <v>61</v>
      </c>
      <c r="M41" s="393">
        <f t="shared" si="3"/>
        <v>0</v>
      </c>
      <c r="N41" s="368"/>
      <c r="O41" s="407">
        <f t="shared" si="2"/>
        <v>0</v>
      </c>
    </row>
    <row r="42" spans="2:18" ht="18.95" hidden="1" customHeight="1">
      <c r="B42" s="218" t="s">
        <v>126</v>
      </c>
      <c r="C42" s="16"/>
      <c r="D42" s="15"/>
      <c r="E42" s="228"/>
      <c r="F42" s="228"/>
      <c r="G42" s="228"/>
      <c r="H42" s="228"/>
      <c r="I42" s="229"/>
      <c r="J42" s="378" t="e">
        <f>I42/$O$3</f>
        <v>#DIV/0!</v>
      </c>
      <c r="K42" s="367">
        <v>0.96</v>
      </c>
      <c r="L42" s="225" t="s">
        <v>61</v>
      </c>
      <c r="M42" s="393" t="str">
        <f t="shared" si="3"/>
        <v>-</v>
      </c>
      <c r="N42" s="228"/>
      <c r="O42" s="407" t="str">
        <f t="shared" si="2"/>
        <v>-</v>
      </c>
    </row>
    <row r="43" spans="2:18" ht="18.95" hidden="1" customHeight="1">
      <c r="B43" s="218" t="s">
        <v>127</v>
      </c>
      <c r="C43" s="15"/>
      <c r="D43" s="15"/>
      <c r="E43" s="225"/>
      <c r="F43" s="225"/>
      <c r="G43" s="226"/>
      <c r="H43" s="226"/>
      <c r="I43" s="227"/>
      <c r="J43" s="378" t="e">
        <f>I43/$O$3</f>
        <v>#DIV/0!</v>
      </c>
      <c r="K43" s="367">
        <v>0.96</v>
      </c>
      <c r="L43" s="225" t="s">
        <v>61</v>
      </c>
      <c r="M43" s="393" t="str">
        <f t="shared" si="3"/>
        <v>-</v>
      </c>
      <c r="N43" s="368"/>
      <c r="O43" s="407" t="str">
        <f t="shared" si="2"/>
        <v>-</v>
      </c>
    </row>
    <row r="44" spans="2:18" ht="18.95" hidden="1" customHeight="1" thickBot="1">
      <c r="B44" s="348" t="s">
        <v>128</v>
      </c>
      <c r="C44" s="28" t="s">
        <v>889</v>
      </c>
      <c r="D44" s="28" t="s">
        <v>890</v>
      </c>
      <c r="E44" s="349"/>
      <c r="F44" s="349" t="s">
        <v>891</v>
      </c>
      <c r="G44" s="350">
        <v>30</v>
      </c>
      <c r="H44" s="350"/>
      <c r="I44" s="351"/>
      <c r="J44" s="379">
        <f>I44/$J$3</f>
        <v>0</v>
      </c>
      <c r="K44" s="352">
        <v>0.96</v>
      </c>
      <c r="L44" s="349" t="s">
        <v>659</v>
      </c>
      <c r="M44" s="394">
        <f t="shared" si="3"/>
        <v>0</v>
      </c>
      <c r="N44" s="353"/>
      <c r="O44" s="408">
        <f t="shared" si="2"/>
        <v>0</v>
      </c>
    </row>
    <row r="45" spans="2:18" ht="18.95" hidden="1" customHeight="1" thickTop="1">
      <c r="B45" s="22" t="s">
        <v>649</v>
      </c>
      <c r="C45" s="15" t="s">
        <v>87</v>
      </c>
      <c r="D45" s="15" t="s">
        <v>88</v>
      </c>
      <c r="E45" s="15"/>
      <c r="F45" s="23" t="s">
        <v>987</v>
      </c>
      <c r="G45" s="260">
        <v>10000</v>
      </c>
      <c r="H45" s="260"/>
      <c r="I45" s="261">
        <v>156400</v>
      </c>
      <c r="J45" s="380">
        <f>I45/$J$3</f>
        <v>9.5716034271725832</v>
      </c>
      <c r="K45" s="179">
        <v>0.96</v>
      </c>
      <c r="L45" s="23" t="s">
        <v>61</v>
      </c>
      <c r="M45" s="395">
        <f>IFERROR(I45/G45/K45,"-")</f>
        <v>16.291666666666668</v>
      </c>
      <c r="N45" s="180"/>
      <c r="O45" s="409">
        <f t="shared" si="2"/>
        <v>16.291666666666668</v>
      </c>
    </row>
    <row r="46" spans="2:18" ht="18.95" hidden="1" customHeight="1">
      <c r="B46" s="22" t="s">
        <v>129</v>
      </c>
      <c r="C46" s="15" t="s">
        <v>75</v>
      </c>
      <c r="D46" s="15" t="s">
        <v>76</v>
      </c>
      <c r="E46" s="15"/>
      <c r="F46" s="23"/>
      <c r="G46" s="231"/>
      <c r="H46" s="231"/>
      <c r="I46" s="256"/>
      <c r="J46" s="380"/>
      <c r="K46" s="179">
        <v>0.99</v>
      </c>
      <c r="L46" s="23" t="s">
        <v>61</v>
      </c>
      <c r="M46" s="395" t="str">
        <f t="shared" ref="M46:M83" si="4">IFERROR(I46/G46/K46,"-")</f>
        <v>-</v>
      </c>
      <c r="N46" s="180"/>
      <c r="O46" s="409" t="str">
        <f t="shared" si="2"/>
        <v>-</v>
      </c>
    </row>
    <row r="47" spans="2:18" ht="18.95" hidden="1" customHeight="1">
      <c r="B47" s="22" t="s">
        <v>716</v>
      </c>
      <c r="C47" s="15" t="s">
        <v>91</v>
      </c>
      <c r="D47" s="15" t="s">
        <v>92</v>
      </c>
      <c r="E47" s="191"/>
      <c r="F47" s="23"/>
      <c r="G47" s="231"/>
      <c r="H47" s="231"/>
      <c r="I47" s="256"/>
      <c r="J47" s="380"/>
      <c r="K47" s="179">
        <v>0.98</v>
      </c>
      <c r="L47" s="23" t="s">
        <v>61</v>
      </c>
      <c r="M47" s="395" t="str">
        <f t="shared" si="4"/>
        <v>-</v>
      </c>
      <c r="N47" s="180"/>
      <c r="O47" s="409" t="str">
        <f t="shared" si="2"/>
        <v>-</v>
      </c>
    </row>
    <row r="48" spans="2:18" ht="18.95" hidden="1" customHeight="1">
      <c r="B48" s="22" t="s">
        <v>130</v>
      </c>
      <c r="C48" s="15" t="s">
        <v>81</v>
      </c>
      <c r="D48" s="15" t="s">
        <v>82</v>
      </c>
      <c r="E48" s="65"/>
      <c r="F48" s="23"/>
      <c r="G48" s="231"/>
      <c r="H48" s="231"/>
      <c r="I48" s="256"/>
      <c r="J48" s="380"/>
      <c r="K48" s="179">
        <v>1</v>
      </c>
      <c r="L48" s="23" t="s">
        <v>61</v>
      </c>
      <c r="M48" s="395" t="str">
        <f t="shared" si="4"/>
        <v>-</v>
      </c>
      <c r="N48" s="180"/>
      <c r="O48" s="409" t="str">
        <f t="shared" si="2"/>
        <v>-</v>
      </c>
    </row>
    <row r="49" spans="2:16" ht="18.95" hidden="1" customHeight="1">
      <c r="B49" s="22" t="s">
        <v>131</v>
      </c>
      <c r="C49" s="15" t="s">
        <v>83</v>
      </c>
      <c r="D49" s="15" t="s">
        <v>84</v>
      </c>
      <c r="E49" s="190"/>
      <c r="F49" s="23"/>
      <c r="G49" s="231"/>
      <c r="H49" s="231"/>
      <c r="I49" s="256"/>
      <c r="J49" s="380"/>
      <c r="K49" s="179">
        <v>0.99</v>
      </c>
      <c r="L49" s="23" t="s">
        <v>61</v>
      </c>
      <c r="M49" s="395" t="str">
        <f t="shared" si="4"/>
        <v>-</v>
      </c>
      <c r="N49" s="180"/>
      <c r="O49" s="409" t="str">
        <f t="shared" si="2"/>
        <v>-</v>
      </c>
    </row>
    <row r="50" spans="2:16" ht="18.95" hidden="1" customHeight="1">
      <c r="B50" s="22" t="s">
        <v>132</v>
      </c>
      <c r="C50" s="15" t="s">
        <v>93</v>
      </c>
      <c r="D50" s="15" t="s">
        <v>94</v>
      </c>
      <c r="E50" s="16"/>
      <c r="F50" s="23"/>
      <c r="G50" s="231"/>
      <c r="H50" s="231"/>
      <c r="I50" s="256"/>
      <c r="J50" s="380"/>
      <c r="K50" s="179">
        <v>0.99</v>
      </c>
      <c r="L50" s="23" t="s">
        <v>61</v>
      </c>
      <c r="M50" s="395" t="str">
        <f t="shared" si="4"/>
        <v>-</v>
      </c>
      <c r="N50" s="180"/>
      <c r="O50" s="409" t="str">
        <f t="shared" si="2"/>
        <v>-</v>
      </c>
    </row>
    <row r="51" spans="2:16" ht="18.95" customHeight="1">
      <c r="B51" s="428" t="s">
        <v>133</v>
      </c>
      <c r="C51" s="15" t="s">
        <v>97</v>
      </c>
      <c r="D51" s="15" t="s">
        <v>98</v>
      </c>
      <c r="E51" s="16"/>
      <c r="F51" s="23" t="s">
        <v>1244</v>
      </c>
      <c r="G51" s="260">
        <v>770</v>
      </c>
      <c r="H51" s="260"/>
      <c r="I51" s="261">
        <v>54501</v>
      </c>
      <c r="J51" s="380">
        <f>I51/$J$3</f>
        <v>3.3354345165238679</v>
      </c>
      <c r="K51" s="179">
        <v>0.99</v>
      </c>
      <c r="L51" s="23" t="s">
        <v>61</v>
      </c>
      <c r="M51" s="395">
        <v>70.78</v>
      </c>
      <c r="N51" s="180"/>
      <c r="O51" s="409">
        <f t="shared" si="2"/>
        <v>70.78</v>
      </c>
    </row>
    <row r="52" spans="2:16" ht="18.95" customHeight="1">
      <c r="B52" s="428" t="s">
        <v>733</v>
      </c>
      <c r="C52" s="15" t="s">
        <v>99</v>
      </c>
      <c r="D52" s="15" t="s">
        <v>100</v>
      </c>
      <c r="E52" s="447"/>
      <c r="F52" s="463" t="s">
        <v>1294</v>
      </c>
      <c r="G52" s="464">
        <v>1000</v>
      </c>
      <c r="H52" s="464"/>
      <c r="I52" s="462">
        <v>85000</v>
      </c>
      <c r="J52" s="380">
        <f>I52/$J$3</f>
        <v>5.2019583843329249</v>
      </c>
      <c r="K52" s="179">
        <v>0.99</v>
      </c>
      <c r="L52" s="23" t="s">
        <v>61</v>
      </c>
      <c r="M52" s="395">
        <v>25.64</v>
      </c>
      <c r="N52" s="180"/>
      <c r="O52" s="409">
        <f t="shared" si="2"/>
        <v>25.64</v>
      </c>
      <c r="P52" t="s">
        <v>1245</v>
      </c>
    </row>
    <row r="53" spans="2:16" ht="18.95" customHeight="1">
      <c r="B53" s="428" t="s">
        <v>134</v>
      </c>
      <c r="C53" s="15" t="s">
        <v>885</v>
      </c>
      <c r="D53" s="15" t="s">
        <v>143</v>
      </c>
      <c r="E53" s="16"/>
      <c r="F53" s="463" t="s">
        <v>1263</v>
      </c>
      <c r="G53" s="464">
        <v>6000</v>
      </c>
      <c r="H53" s="464"/>
      <c r="I53" s="462">
        <v>79550</v>
      </c>
      <c r="J53" s="380">
        <f>I53/$J$3</f>
        <v>4.8684210526315788</v>
      </c>
      <c r="K53" s="179">
        <v>0.99</v>
      </c>
      <c r="L53" s="23" t="s">
        <v>61</v>
      </c>
      <c r="M53" s="395">
        <f t="shared" si="4"/>
        <v>13.392255892255893</v>
      </c>
      <c r="N53" s="180"/>
      <c r="O53" s="409">
        <f t="shared" si="2"/>
        <v>13.392255892255893</v>
      </c>
    </row>
    <row r="54" spans="2:16" ht="18.95" hidden="1" customHeight="1">
      <c r="B54" s="428" t="s">
        <v>876</v>
      </c>
      <c r="C54" s="15" t="s">
        <v>874</v>
      </c>
      <c r="D54" s="15" t="s">
        <v>875</v>
      </c>
      <c r="E54" s="16"/>
      <c r="F54" s="23"/>
      <c r="G54" s="231"/>
      <c r="H54" s="231"/>
      <c r="I54" s="256"/>
      <c r="J54" s="380"/>
      <c r="K54" s="179"/>
      <c r="L54" s="23"/>
      <c r="M54" s="395" t="str">
        <f t="shared" si="4"/>
        <v>-</v>
      </c>
      <c r="N54" s="180"/>
      <c r="O54" s="409"/>
    </row>
    <row r="55" spans="2:16" ht="18.95" hidden="1" customHeight="1">
      <c r="B55" s="428" t="s">
        <v>135</v>
      </c>
      <c r="C55" s="15" t="s">
        <v>101</v>
      </c>
      <c r="D55" s="15" t="s">
        <v>144</v>
      </c>
      <c r="E55" s="16"/>
      <c r="F55" s="23"/>
      <c r="G55" s="231"/>
      <c r="H55" s="231"/>
      <c r="I55" s="256"/>
      <c r="J55" s="380"/>
      <c r="K55" s="179">
        <v>0.99</v>
      </c>
      <c r="L55" s="23" t="s">
        <v>61</v>
      </c>
      <c r="M55" s="395" t="str">
        <f t="shared" si="4"/>
        <v>-</v>
      </c>
      <c r="N55" s="180"/>
      <c r="O55" s="409" t="str">
        <f>IFERROR(M55*(1+N55),"-")</f>
        <v>-</v>
      </c>
    </row>
    <row r="56" spans="2:16" ht="18.95" hidden="1" customHeight="1">
      <c r="B56" s="428" t="s">
        <v>136</v>
      </c>
      <c r="C56" s="15" t="s">
        <v>102</v>
      </c>
      <c r="D56" s="15" t="s">
        <v>145</v>
      </c>
      <c r="E56" s="16"/>
      <c r="F56" s="23"/>
      <c r="G56" s="231"/>
      <c r="H56" s="231"/>
      <c r="I56" s="256"/>
      <c r="J56" s="380"/>
      <c r="K56" s="179">
        <v>0.99</v>
      </c>
      <c r="L56" s="23" t="s">
        <v>61</v>
      </c>
      <c r="M56" s="395" t="str">
        <f t="shared" si="4"/>
        <v>-</v>
      </c>
      <c r="N56" s="180"/>
      <c r="O56" s="409" t="str">
        <f>IFERROR(M56*(1+N56),"-")</f>
        <v>-</v>
      </c>
    </row>
    <row r="57" spans="2:16" ht="18.95" hidden="1" customHeight="1">
      <c r="B57" s="428" t="s">
        <v>137</v>
      </c>
      <c r="C57" s="15" t="s">
        <v>103</v>
      </c>
      <c r="D57" s="15" t="s">
        <v>146</v>
      </c>
      <c r="E57" s="16"/>
      <c r="F57" s="23"/>
      <c r="G57" s="231"/>
      <c r="H57" s="231"/>
      <c r="I57" s="256"/>
      <c r="J57" s="380"/>
      <c r="K57" s="179">
        <v>0.99</v>
      </c>
      <c r="L57" s="23" t="s">
        <v>61</v>
      </c>
      <c r="M57" s="395" t="str">
        <f t="shared" si="4"/>
        <v>-</v>
      </c>
      <c r="N57" s="180"/>
      <c r="O57" s="409" t="str">
        <f t="shared" ref="O57:O82" si="5">IFERROR(M57*(1+N57),"-")</f>
        <v>-</v>
      </c>
    </row>
    <row r="58" spans="2:16" ht="18.95" hidden="1" customHeight="1">
      <c r="B58" s="428" t="s">
        <v>138</v>
      </c>
      <c r="C58" s="15" t="s">
        <v>104</v>
      </c>
      <c r="D58" s="15" t="s">
        <v>147</v>
      </c>
      <c r="E58" s="16"/>
      <c r="F58" s="257"/>
      <c r="G58" s="258"/>
      <c r="H58" s="258"/>
      <c r="I58" s="259"/>
      <c r="J58" s="380"/>
      <c r="K58" s="179">
        <v>0.99</v>
      </c>
      <c r="L58" s="23" t="s">
        <v>61</v>
      </c>
      <c r="M58" s="395" t="str">
        <f t="shared" si="4"/>
        <v>-</v>
      </c>
      <c r="N58" s="180"/>
      <c r="O58" s="409" t="str">
        <f t="shared" si="5"/>
        <v>-</v>
      </c>
    </row>
    <row r="59" spans="2:16" ht="18.95" hidden="1" customHeight="1">
      <c r="B59" s="428" t="s">
        <v>761</v>
      </c>
      <c r="C59" s="15" t="s">
        <v>105</v>
      </c>
      <c r="D59" s="15" t="s">
        <v>148</v>
      </c>
      <c r="E59" s="16"/>
      <c r="F59" s="23"/>
      <c r="G59" s="231"/>
      <c r="H59" s="231"/>
      <c r="I59" s="256"/>
      <c r="J59" s="380"/>
      <c r="K59" s="179">
        <v>0.99</v>
      </c>
      <c r="L59" s="23" t="s">
        <v>61</v>
      </c>
      <c r="M59" s="395" t="str">
        <f t="shared" si="4"/>
        <v>-</v>
      </c>
      <c r="N59" s="180"/>
      <c r="O59" s="409" t="str">
        <f t="shared" si="5"/>
        <v>-</v>
      </c>
    </row>
    <row r="60" spans="2:16" ht="18.95" hidden="1" customHeight="1">
      <c r="B60" s="428" t="s">
        <v>762</v>
      </c>
      <c r="C60" s="15" t="s">
        <v>106</v>
      </c>
      <c r="D60" s="15" t="s">
        <v>149</v>
      </c>
      <c r="E60" s="16"/>
      <c r="F60" s="23"/>
      <c r="G60" s="231"/>
      <c r="H60" s="231"/>
      <c r="I60" s="256"/>
      <c r="J60" s="380"/>
      <c r="K60" s="179">
        <v>0.99</v>
      </c>
      <c r="L60" s="23" t="s">
        <v>61</v>
      </c>
      <c r="M60" s="395" t="str">
        <f t="shared" si="4"/>
        <v>-</v>
      </c>
      <c r="N60" s="180"/>
      <c r="O60" s="409" t="str">
        <f t="shared" si="5"/>
        <v>-</v>
      </c>
    </row>
    <row r="61" spans="2:16" ht="18.95" hidden="1" customHeight="1">
      <c r="B61" s="428" t="s">
        <v>763</v>
      </c>
      <c r="C61" s="15" t="s">
        <v>107</v>
      </c>
      <c r="D61" s="15" t="s">
        <v>150</v>
      </c>
      <c r="E61" s="191"/>
      <c r="F61" s="23"/>
      <c r="G61" s="231"/>
      <c r="H61" s="231"/>
      <c r="I61" s="256"/>
      <c r="J61" s="380"/>
      <c r="K61" s="179">
        <v>0.99</v>
      </c>
      <c r="L61" s="23" t="s">
        <v>61</v>
      </c>
      <c r="M61" s="395" t="str">
        <f t="shared" si="4"/>
        <v>-</v>
      </c>
      <c r="N61" s="180"/>
      <c r="O61" s="409" t="str">
        <f t="shared" si="5"/>
        <v>-</v>
      </c>
    </row>
    <row r="62" spans="2:16" ht="18.95" hidden="1" customHeight="1">
      <c r="B62" s="428" t="s">
        <v>764</v>
      </c>
      <c r="C62" s="15" t="s">
        <v>108</v>
      </c>
      <c r="D62" s="15" t="s">
        <v>151</v>
      </c>
      <c r="E62" s="191"/>
      <c r="F62" s="23"/>
      <c r="G62" s="231"/>
      <c r="H62" s="231"/>
      <c r="I62" s="256"/>
      <c r="J62" s="380"/>
      <c r="K62" s="179">
        <v>0.99</v>
      </c>
      <c r="L62" s="23" t="s">
        <v>61</v>
      </c>
      <c r="M62" s="395" t="str">
        <f t="shared" si="4"/>
        <v>-</v>
      </c>
      <c r="N62" s="180"/>
      <c r="O62" s="409" t="str">
        <f t="shared" si="5"/>
        <v>-</v>
      </c>
    </row>
    <row r="63" spans="2:16" ht="18.95" customHeight="1">
      <c r="B63" s="428" t="s">
        <v>139</v>
      </c>
      <c r="C63" s="15" t="s">
        <v>943</v>
      </c>
      <c r="D63" s="15" t="s">
        <v>944</v>
      </c>
      <c r="E63" s="16"/>
      <c r="F63" s="23" t="s">
        <v>994</v>
      </c>
      <c r="G63" s="260">
        <v>1000</v>
      </c>
      <c r="H63" s="260"/>
      <c r="I63" s="465">
        <v>52170</v>
      </c>
      <c r="J63" s="380">
        <f>I63/$J$3</f>
        <v>3.1927784577723379</v>
      </c>
      <c r="K63" s="179">
        <v>0.99</v>
      </c>
      <c r="L63" s="23" t="s">
        <v>922</v>
      </c>
      <c r="M63" s="395">
        <v>52.17</v>
      </c>
      <c r="N63" s="180"/>
      <c r="O63" s="409">
        <f>IFERROR(M63*(1+N63),"-")</f>
        <v>52.17</v>
      </c>
    </row>
    <row r="64" spans="2:16" ht="18.95" hidden="1" customHeight="1">
      <c r="B64" s="428" t="s">
        <v>945</v>
      </c>
      <c r="C64" s="15" t="s">
        <v>946</v>
      </c>
      <c r="D64" s="15" t="s">
        <v>947</v>
      </c>
      <c r="E64" s="16"/>
      <c r="F64" s="23"/>
      <c r="G64" s="231"/>
      <c r="H64" s="231"/>
      <c r="I64" s="466"/>
      <c r="J64" s="380"/>
      <c r="K64" s="179">
        <v>1.5</v>
      </c>
      <c r="L64" s="23" t="s">
        <v>61</v>
      </c>
      <c r="M64" s="395" t="str">
        <f t="shared" si="4"/>
        <v>-</v>
      </c>
      <c r="N64" s="180"/>
      <c r="O64" s="409" t="str">
        <f t="shared" si="5"/>
        <v>-</v>
      </c>
    </row>
    <row r="65" spans="2:15" ht="18.95" hidden="1" customHeight="1">
      <c r="B65" s="428" t="s">
        <v>140</v>
      </c>
      <c r="C65" s="15" t="s">
        <v>109</v>
      </c>
      <c r="D65" s="15" t="s">
        <v>152</v>
      </c>
      <c r="E65" s="16"/>
      <c r="F65" s="23"/>
      <c r="G65" s="231"/>
      <c r="H65" s="231"/>
      <c r="I65" s="466"/>
      <c r="J65" s="380"/>
      <c r="K65" s="179">
        <v>0.99</v>
      </c>
      <c r="L65" s="23" t="s">
        <v>61</v>
      </c>
      <c r="M65" s="395" t="str">
        <f t="shared" si="4"/>
        <v>-</v>
      </c>
      <c r="N65" s="180"/>
      <c r="O65" s="409" t="str">
        <f t="shared" si="5"/>
        <v>-</v>
      </c>
    </row>
    <row r="66" spans="2:15" ht="18.95" hidden="1" customHeight="1">
      <c r="B66" s="428" t="s">
        <v>141</v>
      </c>
      <c r="C66" s="15" t="s">
        <v>110</v>
      </c>
      <c r="D66" s="15" t="s">
        <v>153</v>
      </c>
      <c r="E66" s="16"/>
      <c r="F66" s="23"/>
      <c r="G66" s="231"/>
      <c r="H66" s="231"/>
      <c r="I66" s="466"/>
      <c r="J66" s="380"/>
      <c r="K66" s="179">
        <v>0.99</v>
      </c>
      <c r="L66" s="23" t="s">
        <v>61</v>
      </c>
      <c r="M66" s="395" t="str">
        <f t="shared" si="4"/>
        <v>-</v>
      </c>
      <c r="N66" s="180"/>
      <c r="O66" s="409" t="str">
        <f t="shared" si="5"/>
        <v>-</v>
      </c>
    </row>
    <row r="67" spans="2:15" ht="18.95" hidden="1" customHeight="1">
      <c r="B67" s="428" t="s">
        <v>142</v>
      </c>
      <c r="C67" s="15" t="s">
        <v>111</v>
      </c>
      <c r="D67" s="15" t="s">
        <v>154</v>
      </c>
      <c r="E67" s="16"/>
      <c r="F67" s="23"/>
      <c r="G67" s="231"/>
      <c r="H67" s="231"/>
      <c r="I67" s="466"/>
      <c r="J67" s="380"/>
      <c r="K67" s="179">
        <v>0.99</v>
      </c>
      <c r="L67" s="23" t="s">
        <v>61</v>
      </c>
      <c r="M67" s="395" t="str">
        <f t="shared" si="4"/>
        <v>-</v>
      </c>
      <c r="N67" s="180"/>
      <c r="O67" s="409" t="str">
        <f t="shared" si="5"/>
        <v>-</v>
      </c>
    </row>
    <row r="68" spans="2:15" ht="18.95" hidden="1" customHeight="1">
      <c r="B68" s="428" t="s">
        <v>168</v>
      </c>
      <c r="C68" s="15" t="s">
        <v>112</v>
      </c>
      <c r="D68" s="15" t="s">
        <v>155</v>
      </c>
      <c r="E68" s="16"/>
      <c r="F68" s="23"/>
      <c r="G68" s="231"/>
      <c r="H68" s="231"/>
      <c r="I68" s="466"/>
      <c r="J68" s="380"/>
      <c r="K68" s="179">
        <v>0.99</v>
      </c>
      <c r="L68" s="23" t="s">
        <v>61</v>
      </c>
      <c r="M68" s="395" t="str">
        <f t="shared" si="4"/>
        <v>-</v>
      </c>
      <c r="N68" s="180"/>
      <c r="O68" s="409" t="str">
        <f t="shared" si="5"/>
        <v>-</v>
      </c>
    </row>
    <row r="69" spans="2:15" ht="18.95" hidden="1" customHeight="1">
      <c r="B69" s="428" t="s">
        <v>169</v>
      </c>
      <c r="C69" s="15" t="s">
        <v>113</v>
      </c>
      <c r="D69" s="15" t="s">
        <v>156</v>
      </c>
      <c r="E69" s="16"/>
      <c r="F69" s="23"/>
      <c r="G69" s="231"/>
      <c r="H69" s="231"/>
      <c r="I69" s="466"/>
      <c r="J69" s="380"/>
      <c r="K69" s="179">
        <v>0.99</v>
      </c>
      <c r="L69" s="23" t="s">
        <v>61</v>
      </c>
      <c r="M69" s="395" t="str">
        <f t="shared" si="4"/>
        <v>-</v>
      </c>
      <c r="N69" s="180"/>
      <c r="O69" s="409" t="str">
        <f t="shared" si="5"/>
        <v>-</v>
      </c>
    </row>
    <row r="70" spans="2:15" ht="18.95" hidden="1" customHeight="1">
      <c r="B70" s="428" t="s">
        <v>170</v>
      </c>
      <c r="C70" s="15" t="s">
        <v>114</v>
      </c>
      <c r="D70" s="15" t="s">
        <v>157</v>
      </c>
      <c r="E70" s="16"/>
      <c r="F70" s="23"/>
      <c r="G70" s="231"/>
      <c r="H70" s="231"/>
      <c r="I70" s="466"/>
      <c r="J70" s="380"/>
      <c r="K70" s="179">
        <v>0.99</v>
      </c>
      <c r="L70" s="23" t="s">
        <v>61</v>
      </c>
      <c r="M70" s="395" t="str">
        <f t="shared" si="4"/>
        <v>-</v>
      </c>
      <c r="N70" s="180"/>
      <c r="O70" s="409" t="str">
        <f t="shared" si="5"/>
        <v>-</v>
      </c>
    </row>
    <row r="71" spans="2:15" ht="18.95" hidden="1" customHeight="1">
      <c r="B71" s="428" t="s">
        <v>171</v>
      </c>
      <c r="C71" s="15" t="s">
        <v>115</v>
      </c>
      <c r="D71" s="15" t="s">
        <v>823</v>
      </c>
      <c r="E71" s="16"/>
      <c r="F71" s="23"/>
      <c r="G71" s="231"/>
      <c r="H71" s="231"/>
      <c r="I71" s="466"/>
      <c r="J71" s="380"/>
      <c r="K71" s="179">
        <v>0.99</v>
      </c>
      <c r="L71" s="23" t="s">
        <v>61</v>
      </c>
      <c r="M71" s="395" t="str">
        <f t="shared" si="4"/>
        <v>-</v>
      </c>
      <c r="N71" s="180"/>
      <c r="O71" s="409" t="str">
        <f t="shared" si="5"/>
        <v>-</v>
      </c>
    </row>
    <row r="72" spans="2:15" ht="18.95" hidden="1" customHeight="1">
      <c r="B72" s="428" t="s">
        <v>172</v>
      </c>
      <c r="C72" s="15" t="s">
        <v>116</v>
      </c>
      <c r="D72" s="15" t="s">
        <v>158</v>
      </c>
      <c r="E72" s="191"/>
      <c r="F72" s="23"/>
      <c r="G72" s="231"/>
      <c r="H72" s="231"/>
      <c r="I72" s="466"/>
      <c r="J72" s="380"/>
      <c r="K72" s="179">
        <v>0.99</v>
      </c>
      <c r="L72" s="23" t="s">
        <v>61</v>
      </c>
      <c r="M72" s="395" t="str">
        <f t="shared" si="4"/>
        <v>-</v>
      </c>
      <c r="N72" s="180"/>
      <c r="O72" s="409" t="str">
        <f t="shared" si="5"/>
        <v>-</v>
      </c>
    </row>
    <row r="73" spans="2:15" ht="18.95" hidden="1" customHeight="1">
      <c r="B73" s="428" t="s">
        <v>173</v>
      </c>
      <c r="C73" s="15" t="s">
        <v>117</v>
      </c>
      <c r="D73" s="15" t="s">
        <v>161</v>
      </c>
      <c r="E73" s="16"/>
      <c r="F73" s="23"/>
      <c r="G73" s="231"/>
      <c r="H73" s="231"/>
      <c r="I73" s="466"/>
      <c r="J73" s="380"/>
      <c r="K73" s="179">
        <v>0.99</v>
      </c>
      <c r="L73" s="23" t="s">
        <v>61</v>
      </c>
      <c r="M73" s="395" t="str">
        <f t="shared" si="4"/>
        <v>-</v>
      </c>
      <c r="N73" s="180"/>
      <c r="O73" s="409" t="str">
        <f t="shared" si="5"/>
        <v>-</v>
      </c>
    </row>
    <row r="74" spans="2:15" ht="18.95" hidden="1" customHeight="1">
      <c r="B74" s="428" t="s">
        <v>179</v>
      </c>
      <c r="C74" s="15" t="s">
        <v>118</v>
      </c>
      <c r="D74" s="15" t="s">
        <v>160</v>
      </c>
      <c r="E74" s="16"/>
      <c r="F74" s="23"/>
      <c r="G74" s="231"/>
      <c r="H74" s="231"/>
      <c r="I74" s="466"/>
      <c r="J74" s="380"/>
      <c r="K74" s="179">
        <v>0.99</v>
      </c>
      <c r="L74" s="23" t="s">
        <v>61</v>
      </c>
      <c r="M74" s="395" t="str">
        <f t="shared" si="4"/>
        <v>-</v>
      </c>
      <c r="N74" s="180"/>
      <c r="O74" s="409" t="str">
        <f t="shared" si="5"/>
        <v>-</v>
      </c>
    </row>
    <row r="75" spans="2:15" ht="18.95" hidden="1" customHeight="1">
      <c r="B75" s="428" t="s">
        <v>180</v>
      </c>
      <c r="C75" s="15" t="s">
        <v>119</v>
      </c>
      <c r="D75" s="15" t="s">
        <v>159</v>
      </c>
      <c r="E75" s="16"/>
      <c r="F75" s="23"/>
      <c r="G75" s="231"/>
      <c r="H75" s="231"/>
      <c r="I75" s="466"/>
      <c r="J75" s="380"/>
      <c r="K75" s="179">
        <v>0.99</v>
      </c>
      <c r="L75" s="23" t="s">
        <v>61</v>
      </c>
      <c r="M75" s="395" t="str">
        <f t="shared" si="4"/>
        <v>-</v>
      </c>
      <c r="N75" s="180"/>
      <c r="O75" s="409" t="str">
        <f t="shared" si="5"/>
        <v>-</v>
      </c>
    </row>
    <row r="76" spans="2:15" ht="18.95" hidden="1" customHeight="1">
      <c r="B76" s="428" t="s">
        <v>181</v>
      </c>
      <c r="C76" s="15" t="s">
        <v>120</v>
      </c>
      <c r="D76" s="15" t="s">
        <v>162</v>
      </c>
      <c r="E76" s="191"/>
      <c r="F76" s="23"/>
      <c r="G76" s="231"/>
      <c r="H76" s="231"/>
      <c r="I76" s="466"/>
      <c r="J76" s="380"/>
      <c r="K76" s="179">
        <v>0.99</v>
      </c>
      <c r="L76" s="23" t="s">
        <v>61</v>
      </c>
      <c r="M76" s="395" t="str">
        <f t="shared" si="4"/>
        <v>-</v>
      </c>
      <c r="N76" s="180"/>
      <c r="O76" s="409" t="str">
        <f t="shared" si="5"/>
        <v>-</v>
      </c>
    </row>
    <row r="77" spans="2:15" ht="18.95" hidden="1" customHeight="1">
      <c r="B77" s="428" t="s">
        <v>182</v>
      </c>
      <c r="C77" s="15" t="s">
        <v>121</v>
      </c>
      <c r="D77" s="15" t="s">
        <v>165</v>
      </c>
      <c r="E77" s="191"/>
      <c r="F77" s="23"/>
      <c r="G77" s="260"/>
      <c r="H77" s="260"/>
      <c r="I77" s="467"/>
      <c r="J77" s="380"/>
      <c r="K77" s="179">
        <v>0.99</v>
      </c>
      <c r="L77" s="23" t="s">
        <v>61</v>
      </c>
      <c r="M77" s="395" t="str">
        <f t="shared" si="4"/>
        <v>-</v>
      </c>
      <c r="N77" s="180"/>
      <c r="O77" s="409" t="str">
        <f t="shared" si="5"/>
        <v>-</v>
      </c>
    </row>
    <row r="78" spans="2:15" ht="18.95" hidden="1" customHeight="1">
      <c r="B78" s="428" t="s">
        <v>765</v>
      </c>
      <c r="C78" s="15" t="s">
        <v>122</v>
      </c>
      <c r="D78" s="15" t="s">
        <v>163</v>
      </c>
      <c r="E78" s="191"/>
      <c r="F78" s="23"/>
      <c r="G78" s="260"/>
      <c r="H78" s="260"/>
      <c r="I78" s="467"/>
      <c r="J78" s="380"/>
      <c r="K78" s="179">
        <v>0.99</v>
      </c>
      <c r="L78" s="23" t="s">
        <v>61</v>
      </c>
      <c r="M78" s="395" t="str">
        <f t="shared" si="4"/>
        <v>-</v>
      </c>
      <c r="N78" s="180"/>
      <c r="O78" s="409" t="str">
        <f t="shared" si="5"/>
        <v>-</v>
      </c>
    </row>
    <row r="79" spans="2:15" ht="18.95" hidden="1" customHeight="1">
      <c r="B79" s="428" t="s">
        <v>766</v>
      </c>
      <c r="C79" s="15" t="s">
        <v>699</v>
      </c>
      <c r="D79" s="15" t="s">
        <v>700</v>
      </c>
      <c r="E79" s="16"/>
      <c r="F79" s="23"/>
      <c r="G79" s="260"/>
      <c r="H79" s="260"/>
      <c r="I79" s="467"/>
      <c r="J79" s="380"/>
      <c r="K79" s="179">
        <v>0.99</v>
      </c>
      <c r="L79" s="23" t="s">
        <v>61</v>
      </c>
      <c r="M79" s="395" t="str">
        <f t="shared" si="4"/>
        <v>-</v>
      </c>
      <c r="N79" s="180"/>
      <c r="O79" s="409" t="str">
        <f t="shared" si="5"/>
        <v>-</v>
      </c>
    </row>
    <row r="80" spans="2:15" ht="18.95" hidden="1" customHeight="1">
      <c r="B80" s="428" t="s">
        <v>877</v>
      </c>
      <c r="C80" s="15" t="s">
        <v>792</v>
      </c>
      <c r="D80" s="15" t="s">
        <v>793</v>
      </c>
      <c r="E80" s="16"/>
      <c r="F80" s="23"/>
      <c r="G80" s="260"/>
      <c r="H80" s="260"/>
      <c r="I80" s="467"/>
      <c r="J80" s="380"/>
      <c r="K80" s="179">
        <v>0.99</v>
      </c>
      <c r="L80" s="23" t="s">
        <v>61</v>
      </c>
      <c r="M80" s="395" t="str">
        <f t="shared" si="4"/>
        <v>-</v>
      </c>
      <c r="N80" s="180"/>
      <c r="O80" s="409" t="str">
        <f t="shared" si="5"/>
        <v>-</v>
      </c>
    </row>
    <row r="81" spans="2:16" ht="18.95" hidden="1" customHeight="1">
      <c r="B81" s="428" t="s">
        <v>878</v>
      </c>
      <c r="C81" s="15" t="s">
        <v>819</v>
      </c>
      <c r="D81" s="15" t="s">
        <v>820</v>
      </c>
      <c r="E81" s="16"/>
      <c r="F81" s="23"/>
      <c r="G81" s="260"/>
      <c r="H81" s="260"/>
      <c r="I81" s="467"/>
      <c r="J81" s="380"/>
      <c r="K81" s="179">
        <v>0.99</v>
      </c>
      <c r="L81" s="23" t="s">
        <v>61</v>
      </c>
      <c r="M81" s="395" t="str">
        <f t="shared" si="4"/>
        <v>-</v>
      </c>
      <c r="N81" s="180"/>
      <c r="O81" s="409" t="str">
        <f t="shared" si="5"/>
        <v>-</v>
      </c>
    </row>
    <row r="82" spans="2:16" ht="18.95" hidden="1" customHeight="1">
      <c r="B82" s="428" t="s">
        <v>879</v>
      </c>
      <c r="C82" s="15" t="s">
        <v>830</v>
      </c>
      <c r="D82" s="15" t="s">
        <v>831</v>
      </c>
      <c r="E82" s="16"/>
      <c r="F82" s="23"/>
      <c r="G82" s="260"/>
      <c r="H82" s="260"/>
      <c r="I82" s="467"/>
      <c r="J82" s="380"/>
      <c r="K82" s="179">
        <v>0.99</v>
      </c>
      <c r="L82" s="23" t="s">
        <v>61</v>
      </c>
      <c r="M82" s="395" t="str">
        <f t="shared" si="4"/>
        <v>-</v>
      </c>
      <c r="N82" s="180"/>
      <c r="O82" s="409" t="str">
        <f t="shared" si="5"/>
        <v>-</v>
      </c>
    </row>
    <row r="83" spans="2:16" ht="18.95" hidden="1" customHeight="1">
      <c r="B83" s="428" t="s">
        <v>880</v>
      </c>
      <c r="C83" s="15" t="s">
        <v>720</v>
      </c>
      <c r="D83" s="15" t="s">
        <v>721</v>
      </c>
      <c r="E83" s="191"/>
      <c r="F83" s="23"/>
      <c r="G83" s="260"/>
      <c r="H83" s="260"/>
      <c r="I83" s="465"/>
      <c r="J83" s="380"/>
      <c r="K83" s="179">
        <v>0.99</v>
      </c>
      <c r="L83" s="23" t="s">
        <v>61</v>
      </c>
      <c r="M83" s="395" t="str">
        <f t="shared" si="4"/>
        <v>-</v>
      </c>
      <c r="N83" s="180"/>
      <c r="O83" s="409" t="str">
        <f>IFERROR(M83*(1+N83),"-")</f>
        <v>-</v>
      </c>
    </row>
    <row r="84" spans="2:16" ht="18.95" customHeight="1" thickBot="1">
      <c r="B84" s="429" t="s">
        <v>989</v>
      </c>
      <c r="C84" s="28" t="s">
        <v>990</v>
      </c>
      <c r="D84" s="28" t="s">
        <v>991</v>
      </c>
      <c r="E84" s="192"/>
      <c r="F84" s="38" t="s">
        <v>1264</v>
      </c>
      <c r="G84" s="262">
        <v>2000</v>
      </c>
      <c r="H84" s="262"/>
      <c r="I84" s="468">
        <v>130000</v>
      </c>
      <c r="J84" s="381">
        <f>I84/J3</f>
        <v>7.9559363525091795</v>
      </c>
      <c r="K84" s="37">
        <v>0.99</v>
      </c>
      <c r="L84" s="38" t="s">
        <v>61</v>
      </c>
      <c r="M84" s="396">
        <f>IFERROR(I84/G84/K84,"-")</f>
        <v>65.656565656565661</v>
      </c>
      <c r="N84" s="39"/>
      <c r="O84" s="410">
        <f>IFERROR(M84*(1+N84),"-")</f>
        <v>65.656565656565661</v>
      </c>
    </row>
    <row r="85" spans="2:16" ht="18.95" customHeight="1" thickTop="1">
      <c r="B85" s="31" t="s">
        <v>631</v>
      </c>
      <c r="C85" s="32" t="s">
        <v>1086</v>
      </c>
      <c r="D85" s="32" t="s">
        <v>1087</v>
      </c>
      <c r="E85" s="33"/>
      <c r="F85" s="284" t="s">
        <v>992</v>
      </c>
      <c r="G85" s="285">
        <v>1300</v>
      </c>
      <c r="H85" s="285"/>
      <c r="I85" s="286">
        <v>43250</v>
      </c>
      <c r="J85" s="382">
        <f>I85/$J$3</f>
        <v>2.6468788249694004</v>
      </c>
      <c r="K85" s="202">
        <v>0.95</v>
      </c>
      <c r="L85" s="21" t="s">
        <v>61</v>
      </c>
      <c r="M85" s="474">
        <v>36.04</v>
      </c>
      <c r="N85" s="203"/>
      <c r="O85" s="411">
        <f t="shared" ref="O85:O148" si="6">IFERROR(M85*(1+N85),"-")</f>
        <v>36.04</v>
      </c>
      <c r="P85" s="233"/>
    </row>
    <row r="86" spans="2:16" ht="18.95" hidden="1" customHeight="1">
      <c r="B86" s="20" t="s">
        <v>632</v>
      </c>
      <c r="C86" s="15" t="s">
        <v>193</v>
      </c>
      <c r="D86" s="15" t="s">
        <v>194</v>
      </c>
      <c r="F86" s="287"/>
      <c r="G86" s="288"/>
      <c r="H86" s="288"/>
      <c r="I86" s="289"/>
      <c r="J86" s="382"/>
      <c r="K86" s="202">
        <v>0.95</v>
      </c>
      <c r="L86" s="21" t="s">
        <v>61</v>
      </c>
      <c r="M86" s="397" t="str">
        <f t="shared" ref="M86:M99" si="7">IFERROR(I86/G86/K86,"-")</f>
        <v>-</v>
      </c>
      <c r="N86" s="203"/>
      <c r="O86" s="411" t="str">
        <f t="shared" si="6"/>
        <v>-</v>
      </c>
    </row>
    <row r="87" spans="2:16" ht="18.95" hidden="1" customHeight="1">
      <c r="B87" s="20" t="s">
        <v>633</v>
      </c>
      <c r="C87" s="15" t="s">
        <v>196</v>
      </c>
      <c r="D87" s="15" t="s">
        <v>195</v>
      </c>
      <c r="F87" s="287"/>
      <c r="G87" s="288"/>
      <c r="H87" s="288"/>
      <c r="I87" s="289"/>
      <c r="J87" s="382"/>
      <c r="K87" s="202">
        <v>0.98</v>
      </c>
      <c r="L87" s="21" t="s">
        <v>61</v>
      </c>
      <c r="M87" s="397" t="str">
        <f t="shared" si="7"/>
        <v>-</v>
      </c>
      <c r="N87" s="203"/>
      <c r="O87" s="411" t="str">
        <f t="shared" si="6"/>
        <v>-</v>
      </c>
    </row>
    <row r="88" spans="2:16" ht="18.95" hidden="1" customHeight="1">
      <c r="B88" s="20" t="s">
        <v>634</v>
      </c>
      <c r="C88" s="15" t="s">
        <v>197</v>
      </c>
      <c r="D88" s="15" t="s">
        <v>198</v>
      </c>
      <c r="F88" s="21"/>
      <c r="G88" s="288"/>
      <c r="H88" s="288"/>
      <c r="I88" s="289"/>
      <c r="J88" s="382"/>
      <c r="K88" s="202">
        <v>0.95</v>
      </c>
      <c r="L88" s="21" t="s">
        <v>61</v>
      </c>
      <c r="M88" s="474">
        <v>37.5</v>
      </c>
      <c r="N88" s="203"/>
      <c r="O88" s="411">
        <f t="shared" si="6"/>
        <v>37.5</v>
      </c>
    </row>
    <row r="89" spans="2:16" ht="18.95" hidden="1" customHeight="1">
      <c r="B89" s="20" t="s">
        <v>635</v>
      </c>
      <c r="C89" s="15" t="s">
        <v>199</v>
      </c>
      <c r="D89" s="15" t="s">
        <v>200</v>
      </c>
      <c r="F89" s="287"/>
      <c r="G89" s="288"/>
      <c r="H89" s="288"/>
      <c r="I89" s="289"/>
      <c r="J89" s="382"/>
      <c r="K89" s="202">
        <v>0.98</v>
      </c>
      <c r="L89" s="21" t="s">
        <v>61</v>
      </c>
      <c r="M89" s="397" t="str">
        <f t="shared" si="7"/>
        <v>-</v>
      </c>
      <c r="N89" s="203"/>
      <c r="O89" s="411" t="str">
        <f t="shared" si="6"/>
        <v>-</v>
      </c>
    </row>
    <row r="90" spans="2:16" ht="18.95" customHeight="1">
      <c r="B90" s="20" t="s">
        <v>736</v>
      </c>
      <c r="C90" s="15" t="s">
        <v>201</v>
      </c>
      <c r="D90" s="15" t="s">
        <v>202</v>
      </c>
      <c r="F90" s="287" t="s">
        <v>993</v>
      </c>
      <c r="G90" s="288">
        <v>1000</v>
      </c>
      <c r="H90" s="288"/>
      <c r="I90" s="290">
        <v>42600</v>
      </c>
      <c r="J90" s="382">
        <f>I90/$J$3</f>
        <v>2.6070991432068542</v>
      </c>
      <c r="K90" s="202">
        <v>0.98</v>
      </c>
      <c r="L90" s="21" t="s">
        <v>61</v>
      </c>
      <c r="M90" s="397">
        <f t="shared" si="7"/>
        <v>43.469387755102041</v>
      </c>
      <c r="N90" s="203"/>
      <c r="O90" s="411">
        <f t="shared" si="6"/>
        <v>43.469387755102041</v>
      </c>
    </row>
    <row r="91" spans="2:16" ht="18.95" customHeight="1">
      <c r="B91" s="20" t="s">
        <v>669</v>
      </c>
      <c r="C91" s="15" t="s">
        <v>203</v>
      </c>
      <c r="D91" s="15" t="s">
        <v>204</v>
      </c>
      <c r="F91" s="287" t="s">
        <v>994</v>
      </c>
      <c r="G91" s="291">
        <v>1000</v>
      </c>
      <c r="H91" s="291"/>
      <c r="I91" s="290">
        <v>48000</v>
      </c>
      <c r="J91" s="382">
        <f>I91/$J$3</f>
        <v>2.9375764993880047</v>
      </c>
      <c r="K91" s="202">
        <v>0.98</v>
      </c>
      <c r="L91" s="21" t="s">
        <v>61</v>
      </c>
      <c r="M91" s="397">
        <f t="shared" si="7"/>
        <v>48.979591836734691</v>
      </c>
      <c r="N91" s="203"/>
      <c r="O91" s="411">
        <f t="shared" si="6"/>
        <v>48.979591836734691</v>
      </c>
    </row>
    <row r="92" spans="2:16" ht="18.75" hidden="1" customHeight="1">
      <c r="B92" s="20" t="s">
        <v>636</v>
      </c>
      <c r="C92" s="15" t="s">
        <v>235</v>
      </c>
      <c r="D92" s="15" t="s">
        <v>236</v>
      </c>
      <c r="F92" s="287"/>
      <c r="G92" s="288"/>
      <c r="H92" s="288"/>
      <c r="I92" s="289"/>
      <c r="J92" s="382"/>
      <c r="K92" s="202">
        <v>0.98</v>
      </c>
      <c r="L92" s="21" t="s">
        <v>61</v>
      </c>
      <c r="M92" s="397" t="str">
        <f t="shared" si="7"/>
        <v>-</v>
      </c>
      <c r="N92" s="203"/>
      <c r="O92" s="411" t="str">
        <f t="shared" si="6"/>
        <v>-</v>
      </c>
    </row>
    <row r="93" spans="2:16" ht="18.75" hidden="1" customHeight="1">
      <c r="B93" s="20" t="s">
        <v>636</v>
      </c>
      <c r="C93" s="15" t="s">
        <v>217</v>
      </c>
      <c r="D93" s="15" t="s">
        <v>218</v>
      </c>
      <c r="F93" s="287"/>
      <c r="G93" s="288"/>
      <c r="H93" s="288"/>
      <c r="I93" s="289"/>
      <c r="J93" s="382"/>
      <c r="K93" s="202">
        <v>0.98</v>
      </c>
      <c r="L93" s="21" t="s">
        <v>61</v>
      </c>
      <c r="M93" s="397" t="str">
        <f t="shared" si="7"/>
        <v>-</v>
      </c>
      <c r="N93" s="203"/>
      <c r="O93" s="411" t="str">
        <f t="shared" si="6"/>
        <v>-</v>
      </c>
    </row>
    <row r="94" spans="2:16" ht="18.95" hidden="1" customHeight="1">
      <c r="B94" s="20" t="s">
        <v>637</v>
      </c>
      <c r="C94" s="15" t="s">
        <v>205</v>
      </c>
      <c r="D94" s="15" t="s">
        <v>206</v>
      </c>
      <c r="F94" s="287"/>
      <c r="G94" s="288"/>
      <c r="H94" s="288"/>
      <c r="I94" s="289"/>
      <c r="J94" s="382"/>
      <c r="K94" s="202">
        <v>0.98</v>
      </c>
      <c r="L94" s="21" t="s">
        <v>61</v>
      </c>
      <c r="M94" s="397" t="str">
        <f t="shared" si="7"/>
        <v>-</v>
      </c>
      <c r="N94" s="203"/>
      <c r="O94" s="411" t="str">
        <f t="shared" si="6"/>
        <v>-</v>
      </c>
    </row>
    <row r="95" spans="2:16" ht="18.95" hidden="1" customHeight="1">
      <c r="B95" s="20" t="s">
        <v>723</v>
      </c>
      <c r="C95" s="15" t="s">
        <v>954</v>
      </c>
      <c r="D95" s="15" t="s">
        <v>955</v>
      </c>
      <c r="F95" s="287"/>
      <c r="G95" s="291"/>
      <c r="H95" s="291"/>
      <c r="I95" s="289"/>
      <c r="J95" s="382"/>
      <c r="K95" s="202">
        <v>0.98</v>
      </c>
      <c r="L95" s="21" t="s">
        <v>61</v>
      </c>
      <c r="M95" s="397" t="str">
        <f t="shared" si="7"/>
        <v>-</v>
      </c>
      <c r="N95" s="203"/>
      <c r="O95" s="411" t="str">
        <f t="shared" si="6"/>
        <v>-</v>
      </c>
    </row>
    <row r="96" spans="2:16" ht="18.95" hidden="1" customHeight="1">
      <c r="B96" s="20" t="s">
        <v>956</v>
      </c>
      <c r="C96" s="15" t="s">
        <v>957</v>
      </c>
      <c r="D96" s="15" t="s">
        <v>958</v>
      </c>
      <c r="F96" s="287"/>
      <c r="G96" s="291"/>
      <c r="H96" s="291"/>
      <c r="I96" s="289"/>
      <c r="J96" s="382"/>
      <c r="K96" s="202">
        <v>1</v>
      </c>
      <c r="L96" s="21" t="s">
        <v>61</v>
      </c>
      <c r="M96" s="397" t="str">
        <f t="shared" si="7"/>
        <v>-</v>
      </c>
      <c r="N96" s="203"/>
      <c r="O96" s="411" t="str">
        <f t="shared" si="6"/>
        <v>-</v>
      </c>
      <c r="P96">
        <v>6.25E-2</v>
      </c>
    </row>
    <row r="97" spans="2:15" ht="18.5" customHeight="1">
      <c r="B97" s="20" t="s">
        <v>995</v>
      </c>
      <c r="C97" s="15" t="s">
        <v>996</v>
      </c>
      <c r="D97" s="15" t="s">
        <v>997</v>
      </c>
      <c r="F97" s="287" t="s">
        <v>993</v>
      </c>
      <c r="G97" s="288">
        <v>1000</v>
      </c>
      <c r="H97" s="288"/>
      <c r="I97" s="290">
        <v>39000</v>
      </c>
      <c r="J97" s="382">
        <f>I97/$J$3</f>
        <v>2.386780905752754</v>
      </c>
      <c r="K97" s="202">
        <v>0.95</v>
      </c>
      <c r="L97" s="21" t="s">
        <v>61</v>
      </c>
      <c r="M97" s="397">
        <f t="shared" si="7"/>
        <v>41.05263157894737</v>
      </c>
      <c r="N97" s="203"/>
      <c r="O97" s="411">
        <f t="shared" si="6"/>
        <v>41.05263157894737</v>
      </c>
    </row>
    <row r="98" spans="2:15" ht="18.95" customHeight="1">
      <c r="B98" s="20" t="s">
        <v>1119</v>
      </c>
      <c r="C98" s="15" t="s">
        <v>1120</v>
      </c>
      <c r="D98" s="15" t="s">
        <v>1121</v>
      </c>
      <c r="F98" s="287" t="s">
        <v>994</v>
      </c>
      <c r="G98" s="288">
        <v>1000</v>
      </c>
      <c r="H98" s="288"/>
      <c r="I98" s="290"/>
      <c r="J98" s="382">
        <f>I98/$J$3</f>
        <v>0</v>
      </c>
      <c r="K98" s="202">
        <v>1</v>
      </c>
      <c r="L98" s="21" t="s">
        <v>61</v>
      </c>
      <c r="M98" s="397">
        <f t="shared" si="7"/>
        <v>0</v>
      </c>
      <c r="N98" s="203"/>
      <c r="O98" s="411">
        <f t="shared" si="6"/>
        <v>0</v>
      </c>
    </row>
    <row r="99" spans="2:15" ht="18.95" customHeight="1" thickBot="1">
      <c r="B99" s="34" t="s">
        <v>1126</v>
      </c>
      <c r="C99" s="28" t="s">
        <v>1127</v>
      </c>
      <c r="D99" s="28" t="s">
        <v>1128</v>
      </c>
      <c r="F99" s="292" t="s">
        <v>869</v>
      </c>
      <c r="G99" s="293">
        <v>500</v>
      </c>
      <c r="H99" s="293"/>
      <c r="I99" s="294">
        <v>65625</v>
      </c>
      <c r="J99" s="383">
        <f>I99/$J$3</f>
        <v>4.0162178702570381</v>
      </c>
      <c r="K99" s="204">
        <v>1</v>
      </c>
      <c r="L99" s="36" t="s">
        <v>61</v>
      </c>
      <c r="M99" s="398">
        <f t="shared" si="7"/>
        <v>131.25</v>
      </c>
      <c r="N99" s="205"/>
      <c r="O99" s="412">
        <f t="shared" si="6"/>
        <v>131.25</v>
      </c>
    </row>
    <row r="100" spans="2:15" ht="18.95" hidden="1" customHeight="1" thickTop="1">
      <c r="B100" s="40" t="s">
        <v>656</v>
      </c>
      <c r="C100" s="15" t="s">
        <v>219</v>
      </c>
      <c r="D100" s="32" t="s">
        <v>220</v>
      </c>
      <c r="F100" s="29"/>
      <c r="G100" s="30"/>
      <c r="H100" s="30"/>
      <c r="I100" s="189"/>
      <c r="J100" s="376"/>
      <c r="K100" s="369">
        <v>1</v>
      </c>
      <c r="L100" s="41" t="s">
        <v>61</v>
      </c>
      <c r="M100" s="375" t="str">
        <f t="shared" ref="M100:M114" si="8">IFERROR(J100/G100/K100,"-")</f>
        <v>-</v>
      </c>
      <c r="N100" s="370"/>
      <c r="O100" s="405" t="str">
        <f t="shared" si="6"/>
        <v>-</v>
      </c>
    </row>
    <row r="101" spans="2:15" ht="18.95" hidden="1" customHeight="1">
      <c r="B101" s="40" t="s">
        <v>207</v>
      </c>
      <c r="C101" s="15" t="s">
        <v>921</v>
      </c>
      <c r="D101" s="15" t="s">
        <v>221</v>
      </c>
      <c r="F101" s="29"/>
      <c r="G101" s="30"/>
      <c r="H101" s="30"/>
      <c r="I101" s="189"/>
      <c r="J101" s="376"/>
      <c r="K101" s="369">
        <v>0.95</v>
      </c>
      <c r="L101" s="41" t="s">
        <v>61</v>
      </c>
      <c r="M101" s="375" t="str">
        <f t="shared" si="8"/>
        <v>-</v>
      </c>
      <c r="N101" s="370"/>
      <c r="O101" s="405" t="str">
        <f t="shared" si="6"/>
        <v>-</v>
      </c>
    </row>
    <row r="102" spans="2:15" ht="18.95" hidden="1" customHeight="1">
      <c r="B102" s="40" t="s">
        <v>208</v>
      </c>
      <c r="C102" s="15" t="s">
        <v>222</v>
      </c>
      <c r="D102" s="15" t="s">
        <v>223</v>
      </c>
      <c r="F102" s="29"/>
      <c r="G102" s="30"/>
      <c r="H102" s="30"/>
      <c r="I102" s="189"/>
      <c r="J102" s="376"/>
      <c r="K102" s="369">
        <v>0.9</v>
      </c>
      <c r="L102" s="41" t="s">
        <v>61</v>
      </c>
      <c r="M102" s="375" t="str">
        <f t="shared" si="8"/>
        <v>-</v>
      </c>
      <c r="N102" s="370"/>
      <c r="O102" s="405" t="str">
        <f t="shared" si="6"/>
        <v>-</v>
      </c>
    </row>
    <row r="103" spans="2:15" ht="16.5" hidden="1" customHeight="1">
      <c r="B103" s="40" t="s">
        <v>209</v>
      </c>
      <c r="C103" s="15" t="s">
        <v>872</v>
      </c>
      <c r="D103" s="15" t="s">
        <v>873</v>
      </c>
      <c r="F103" s="29"/>
      <c r="G103" s="30"/>
      <c r="H103" s="30"/>
      <c r="I103" s="189"/>
      <c r="J103" s="376"/>
      <c r="K103" s="369">
        <v>1</v>
      </c>
      <c r="L103" s="41" t="s">
        <v>61</v>
      </c>
      <c r="M103" s="375" t="str">
        <f t="shared" si="8"/>
        <v>-</v>
      </c>
      <c r="N103" s="370"/>
      <c r="O103" s="405" t="str">
        <f t="shared" si="6"/>
        <v>-</v>
      </c>
    </row>
    <row r="104" spans="2:15" ht="16.5" hidden="1" customHeight="1">
      <c r="B104" s="40" t="s">
        <v>210</v>
      </c>
      <c r="C104" s="15" t="s">
        <v>870</v>
      </c>
      <c r="D104" s="15" t="s">
        <v>871</v>
      </c>
      <c r="F104" s="29"/>
      <c r="G104" s="30"/>
      <c r="H104" s="30"/>
      <c r="I104" s="189"/>
      <c r="J104" s="376"/>
      <c r="K104" s="369">
        <v>0.99</v>
      </c>
      <c r="L104" s="41" t="s">
        <v>61</v>
      </c>
      <c r="M104" s="375" t="str">
        <f t="shared" si="8"/>
        <v>-</v>
      </c>
      <c r="N104" s="370"/>
      <c r="O104" s="405" t="str">
        <f t="shared" si="6"/>
        <v>-</v>
      </c>
    </row>
    <row r="105" spans="2:15" ht="16.5" hidden="1" customHeight="1">
      <c r="B105" s="40" t="s">
        <v>211</v>
      </c>
      <c r="C105" s="15" t="s">
        <v>224</v>
      </c>
      <c r="D105" s="15" t="s">
        <v>225</v>
      </c>
      <c r="F105" s="29"/>
      <c r="G105" s="30"/>
      <c r="H105" s="30"/>
      <c r="I105" s="189"/>
      <c r="J105" s="376"/>
      <c r="K105" s="369">
        <v>1</v>
      </c>
      <c r="L105" s="41" t="s">
        <v>61</v>
      </c>
      <c r="M105" s="375" t="str">
        <f t="shared" si="8"/>
        <v>-</v>
      </c>
      <c r="N105" s="370"/>
      <c r="O105" s="405" t="str">
        <f t="shared" si="6"/>
        <v>-</v>
      </c>
    </row>
    <row r="106" spans="2:15" ht="16.5" hidden="1" customHeight="1">
      <c r="B106" s="40" t="s">
        <v>212</v>
      </c>
      <c r="C106" s="15" t="s">
        <v>569</v>
      </c>
      <c r="D106" s="15" t="s">
        <v>226</v>
      </c>
      <c r="F106" s="29"/>
      <c r="G106" s="30"/>
      <c r="H106" s="30"/>
      <c r="I106" s="189"/>
      <c r="J106" s="376"/>
      <c r="K106" s="369">
        <v>0.99</v>
      </c>
      <c r="L106" s="41" t="s">
        <v>61</v>
      </c>
      <c r="M106" s="375" t="str">
        <f t="shared" si="8"/>
        <v>-</v>
      </c>
      <c r="N106" s="370"/>
      <c r="O106" s="405" t="str">
        <f t="shared" si="6"/>
        <v>-</v>
      </c>
    </row>
    <row r="107" spans="2:15" ht="16.5" hidden="1" customHeight="1">
      <c r="B107" s="40" t="s">
        <v>213</v>
      </c>
      <c r="C107" s="15" t="s">
        <v>227</v>
      </c>
      <c r="D107" s="15" t="s">
        <v>228</v>
      </c>
      <c r="F107" s="29"/>
      <c r="G107" s="30"/>
      <c r="H107" s="30"/>
      <c r="I107" s="189"/>
      <c r="J107" s="376"/>
      <c r="K107" s="369">
        <v>0.99</v>
      </c>
      <c r="L107" s="41" t="s">
        <v>61</v>
      </c>
      <c r="M107" s="375" t="str">
        <f t="shared" si="8"/>
        <v>-</v>
      </c>
      <c r="N107" s="370"/>
      <c r="O107" s="405" t="str">
        <f t="shared" si="6"/>
        <v>-</v>
      </c>
    </row>
    <row r="108" spans="2:15" ht="16.5" hidden="1" customHeight="1">
      <c r="B108" s="40" t="s">
        <v>685</v>
      </c>
      <c r="C108" s="15" t="s">
        <v>980</v>
      </c>
      <c r="D108" s="15" t="s">
        <v>229</v>
      </c>
      <c r="F108" s="29"/>
      <c r="G108" s="30"/>
      <c r="H108" s="30"/>
      <c r="I108" s="189"/>
      <c r="J108" s="376"/>
      <c r="K108" s="369">
        <v>0.99</v>
      </c>
      <c r="L108" s="41" t="s">
        <v>61</v>
      </c>
      <c r="M108" s="375" t="str">
        <f t="shared" si="8"/>
        <v>-</v>
      </c>
      <c r="N108" s="370"/>
      <c r="O108" s="405" t="str">
        <f t="shared" si="6"/>
        <v>-</v>
      </c>
    </row>
    <row r="109" spans="2:15" ht="16.5" hidden="1" customHeight="1">
      <c r="B109" s="40" t="s">
        <v>214</v>
      </c>
      <c r="C109" s="15" t="s">
        <v>230</v>
      </c>
      <c r="D109" s="15" t="s">
        <v>231</v>
      </c>
      <c r="F109" s="29"/>
      <c r="G109" s="30"/>
      <c r="H109" s="30"/>
      <c r="I109" s="189"/>
      <c r="J109" s="376"/>
      <c r="K109" s="369">
        <v>0.99</v>
      </c>
      <c r="L109" s="41" t="s">
        <v>61</v>
      </c>
      <c r="M109" s="375" t="str">
        <f t="shared" si="8"/>
        <v>-</v>
      </c>
      <c r="N109" s="370"/>
      <c r="O109" s="405" t="str">
        <f t="shared" si="6"/>
        <v>-</v>
      </c>
    </row>
    <row r="110" spans="2:15" ht="16.5" hidden="1" customHeight="1">
      <c r="B110" s="40" t="s">
        <v>215</v>
      </c>
      <c r="C110" s="15" t="s">
        <v>850</v>
      </c>
      <c r="D110" s="15" t="s">
        <v>851</v>
      </c>
      <c r="F110" s="29"/>
      <c r="G110" s="30"/>
      <c r="H110" s="30"/>
      <c r="I110" s="189"/>
      <c r="J110" s="376"/>
      <c r="K110" s="369">
        <v>0.99</v>
      </c>
      <c r="L110" s="41" t="s">
        <v>61</v>
      </c>
      <c r="M110" s="375" t="str">
        <f t="shared" si="8"/>
        <v>-</v>
      </c>
      <c r="N110" s="370"/>
      <c r="O110" s="405" t="str">
        <f t="shared" si="6"/>
        <v>-</v>
      </c>
    </row>
    <row r="111" spans="2:15" ht="16.5" hidden="1" customHeight="1">
      <c r="B111" s="40" t="s">
        <v>216</v>
      </c>
      <c r="C111" s="15" t="s">
        <v>808</v>
      </c>
      <c r="D111" s="15" t="s">
        <v>809</v>
      </c>
      <c r="F111" s="29"/>
      <c r="G111" s="30"/>
      <c r="H111" s="30"/>
      <c r="I111" s="189"/>
      <c r="J111" s="376"/>
      <c r="K111" s="369">
        <v>0.99</v>
      </c>
      <c r="L111" s="41" t="s">
        <v>61</v>
      </c>
      <c r="M111" s="375" t="str">
        <f>IFERROR(J111/G111/K111,"-")</f>
        <v>-</v>
      </c>
      <c r="N111" s="370"/>
      <c r="O111" s="405" t="str">
        <f>IFERROR(M111*(1+N111),"-")</f>
        <v>-</v>
      </c>
    </row>
    <row r="112" spans="2:15" ht="16.5" hidden="1" customHeight="1">
      <c r="B112" s="40" t="s">
        <v>811</v>
      </c>
      <c r="C112" s="15" t="s">
        <v>814</v>
      </c>
      <c r="D112" s="15" t="s">
        <v>813</v>
      </c>
      <c r="F112" s="29"/>
      <c r="G112" s="30"/>
      <c r="H112" s="30"/>
      <c r="I112" s="189"/>
      <c r="J112" s="376"/>
      <c r="K112" s="369">
        <v>0.99</v>
      </c>
      <c r="L112" s="41" t="s">
        <v>61</v>
      </c>
      <c r="M112" s="375" t="str">
        <f>IFERROR(J112/G112/K112,"-")</f>
        <v>-</v>
      </c>
      <c r="N112" s="370"/>
      <c r="O112" s="405" t="str">
        <f>IFERROR(M112*(1+N112),"-")</f>
        <v>-</v>
      </c>
    </row>
    <row r="113" spans="1:16" ht="16.5" hidden="1" customHeight="1">
      <c r="B113" s="40" t="s">
        <v>812</v>
      </c>
      <c r="C113" s="15" t="s">
        <v>832</v>
      </c>
      <c r="D113" s="15" t="s">
        <v>833</v>
      </c>
      <c r="F113" s="29"/>
      <c r="G113" s="178"/>
      <c r="H113" s="178"/>
      <c r="I113" s="345"/>
      <c r="J113" s="376"/>
      <c r="K113" s="369">
        <v>0.99</v>
      </c>
      <c r="L113" s="41" t="s">
        <v>61</v>
      </c>
      <c r="M113" s="375" t="str">
        <f>IFERROR(J113/G113/K113,"-")</f>
        <v>-</v>
      </c>
      <c r="N113" s="370"/>
      <c r="O113" s="405" t="str">
        <f>IFERROR(M113*(1+N113),"-")</f>
        <v>-</v>
      </c>
    </row>
    <row r="114" spans="1:16" ht="17.25" hidden="1" customHeight="1">
      <c r="B114" s="40" t="s">
        <v>749</v>
      </c>
      <c r="C114" s="15" t="s">
        <v>232</v>
      </c>
      <c r="D114" s="15" t="s">
        <v>233</v>
      </c>
      <c r="F114" s="29"/>
      <c r="G114" s="178"/>
      <c r="H114" s="178"/>
      <c r="I114" s="345"/>
      <c r="J114" s="376"/>
      <c r="K114" s="369">
        <v>1</v>
      </c>
      <c r="L114" s="41" t="s">
        <v>61</v>
      </c>
      <c r="M114" s="375" t="str">
        <f t="shared" si="8"/>
        <v>-</v>
      </c>
      <c r="N114" s="370"/>
      <c r="O114" s="405" t="str">
        <f t="shared" si="6"/>
        <v>-</v>
      </c>
    </row>
    <row r="115" spans="1:16" ht="18.95" customHeight="1" thickTop="1">
      <c r="B115" s="21" t="s">
        <v>1254</v>
      </c>
      <c r="C115" s="15" t="s">
        <v>1255</v>
      </c>
      <c r="D115" s="15" t="s">
        <v>1256</v>
      </c>
      <c r="E115" s="16"/>
      <c r="F115" s="287" t="s">
        <v>992</v>
      </c>
      <c r="G115" s="288">
        <v>1300</v>
      </c>
      <c r="H115" s="288"/>
      <c r="I115" s="290">
        <v>43250</v>
      </c>
      <c r="J115" s="382">
        <f>I115/$J$3</f>
        <v>2.6468788249694004</v>
      </c>
      <c r="K115" s="202">
        <v>0.95</v>
      </c>
      <c r="L115" s="21" t="s">
        <v>61</v>
      </c>
      <c r="M115" s="397">
        <f>IFERROR(I115/G115/K115,"-")</f>
        <v>35.020242914979754</v>
      </c>
      <c r="N115" s="203"/>
      <c r="O115" s="411">
        <f t="shared" si="6"/>
        <v>35.020242914979754</v>
      </c>
      <c r="P115" s="233"/>
    </row>
    <row r="116" spans="1:16" ht="18.95" customHeight="1" thickBot="1">
      <c r="B116" s="42" t="s">
        <v>750</v>
      </c>
      <c r="C116" s="28" t="s">
        <v>818</v>
      </c>
      <c r="D116" s="28" t="s">
        <v>234</v>
      </c>
      <c r="E116" s="35"/>
      <c r="F116" s="266" t="s">
        <v>1153</v>
      </c>
      <c r="G116" s="344">
        <v>200</v>
      </c>
      <c r="H116" s="344"/>
      <c r="I116" s="469">
        <v>16800</v>
      </c>
      <c r="J116" s="384">
        <f>I116/$J$3</f>
        <v>1.0281517747858018</v>
      </c>
      <c r="K116" s="265">
        <v>1</v>
      </c>
      <c r="L116" s="266" t="s">
        <v>61</v>
      </c>
      <c r="M116" s="475">
        <v>83.22</v>
      </c>
      <c r="N116" s="267"/>
      <c r="O116" s="413">
        <f t="shared" si="6"/>
        <v>83.22</v>
      </c>
    </row>
    <row r="117" spans="1:16" ht="18.95" hidden="1" customHeight="1" thickTop="1">
      <c r="B117" s="18" t="s">
        <v>237</v>
      </c>
      <c r="C117" s="15" t="s">
        <v>238</v>
      </c>
      <c r="D117" s="15" t="s">
        <v>239</v>
      </c>
      <c r="F117" s="246"/>
      <c r="G117" s="247"/>
      <c r="H117" s="247"/>
      <c r="I117" s="253"/>
      <c r="J117" s="376"/>
      <c r="K117" s="263">
        <v>3</v>
      </c>
      <c r="L117" s="371" t="s">
        <v>61</v>
      </c>
      <c r="M117" s="375" t="str">
        <f>IFERROR(J117/G117/K117,"-")</f>
        <v>-</v>
      </c>
      <c r="N117" s="264"/>
      <c r="O117" s="405" t="str">
        <f>IFERROR(M117*(1+N117),"-")</f>
        <v>-</v>
      </c>
    </row>
    <row r="118" spans="1:16" ht="18.95" customHeight="1" thickTop="1">
      <c r="B118" s="18" t="s">
        <v>680</v>
      </c>
      <c r="C118" s="15" t="s">
        <v>240</v>
      </c>
      <c r="D118" s="15" t="s">
        <v>241</v>
      </c>
      <c r="F118" s="268" t="s">
        <v>1145</v>
      </c>
      <c r="G118" s="269">
        <v>1800</v>
      </c>
      <c r="H118" s="269"/>
      <c r="I118" s="270">
        <v>179487</v>
      </c>
      <c r="J118" s="385">
        <f>I118/$J$3</f>
        <v>10.984516523867809</v>
      </c>
      <c r="K118" s="206">
        <v>0.99</v>
      </c>
      <c r="L118" s="19" t="s">
        <v>61</v>
      </c>
      <c r="M118" s="399">
        <f>IFERROR(I118/G118/K118,"-")</f>
        <v>100.72222222222223</v>
      </c>
      <c r="N118" s="207"/>
      <c r="O118" s="414">
        <f t="shared" si="6"/>
        <v>100.72222222222223</v>
      </c>
    </row>
    <row r="119" spans="1:16" ht="18.95" hidden="1" customHeight="1">
      <c r="B119" s="18" t="s">
        <v>718</v>
      </c>
      <c r="C119" s="15" t="s">
        <v>242</v>
      </c>
      <c r="D119" s="15" t="s">
        <v>243</v>
      </c>
      <c r="F119" s="19"/>
      <c r="G119" s="271"/>
      <c r="H119" s="271"/>
      <c r="I119" s="272"/>
      <c r="J119" s="385"/>
      <c r="K119" s="206">
        <v>0.99</v>
      </c>
      <c r="L119" s="19" t="s">
        <v>61</v>
      </c>
      <c r="M119" s="399" t="str">
        <f t="shared" ref="M119:M128" si="9">IFERROR(J119/G119/K119,"-")</f>
        <v>-</v>
      </c>
      <c r="N119" s="207"/>
      <c r="O119" s="414" t="str">
        <f t="shared" si="6"/>
        <v>-</v>
      </c>
    </row>
    <row r="120" spans="1:16" ht="18.95" hidden="1" customHeight="1">
      <c r="B120" s="18" t="s">
        <v>250</v>
      </c>
      <c r="C120" s="15" t="s">
        <v>244</v>
      </c>
      <c r="D120" s="15" t="s">
        <v>245</v>
      </c>
      <c r="F120" s="19"/>
      <c r="G120" s="271"/>
      <c r="H120" s="271"/>
      <c r="I120" s="272"/>
      <c r="J120" s="385"/>
      <c r="K120" s="206">
        <v>0.99</v>
      </c>
      <c r="L120" s="19" t="s">
        <v>61</v>
      </c>
      <c r="M120" s="399" t="str">
        <f t="shared" si="9"/>
        <v>-</v>
      </c>
      <c r="N120" s="207"/>
      <c r="O120" s="414" t="str">
        <f t="shared" si="6"/>
        <v>-</v>
      </c>
    </row>
    <row r="121" spans="1:16" ht="18.95" hidden="1" customHeight="1">
      <c r="B121" s="18" t="s">
        <v>251</v>
      </c>
      <c r="C121" s="15" t="s">
        <v>246</v>
      </c>
      <c r="D121" s="15" t="s">
        <v>247</v>
      </c>
      <c r="F121" s="19"/>
      <c r="G121" s="271"/>
      <c r="H121" s="271"/>
      <c r="I121" s="272"/>
      <c r="J121" s="385"/>
      <c r="K121" s="206">
        <v>0.99</v>
      </c>
      <c r="L121" s="19" t="s">
        <v>61</v>
      </c>
      <c r="M121" s="399" t="str">
        <f t="shared" si="9"/>
        <v>-</v>
      </c>
      <c r="N121" s="207"/>
      <c r="O121" s="414" t="str">
        <f t="shared" si="6"/>
        <v>-</v>
      </c>
    </row>
    <row r="122" spans="1:16" ht="18.95" hidden="1" customHeight="1">
      <c r="B122" s="18" t="s">
        <v>646</v>
      </c>
      <c r="C122" s="15" t="s">
        <v>248</v>
      </c>
      <c r="D122" s="15" t="s">
        <v>249</v>
      </c>
      <c r="F122" s="19"/>
      <c r="G122" s="273"/>
      <c r="H122" s="273"/>
      <c r="I122" s="274"/>
      <c r="J122" s="385"/>
      <c r="K122" s="206">
        <v>0.99</v>
      </c>
      <c r="L122" s="19" t="s">
        <v>61</v>
      </c>
      <c r="M122" s="399" t="str">
        <f t="shared" si="9"/>
        <v>-</v>
      </c>
      <c r="N122" s="207"/>
      <c r="O122" s="414" t="str">
        <f t="shared" si="6"/>
        <v>-</v>
      </c>
    </row>
    <row r="123" spans="1:16" ht="18.95" hidden="1" customHeight="1">
      <c r="B123" s="18" t="s">
        <v>679</v>
      </c>
      <c r="C123" s="15" t="s">
        <v>609</v>
      </c>
      <c r="D123" s="15" t="s">
        <v>610</v>
      </c>
      <c r="F123" s="19"/>
      <c r="G123" s="273"/>
      <c r="H123" s="273"/>
      <c r="I123" s="274"/>
      <c r="J123" s="385"/>
      <c r="K123" s="206">
        <v>0.99</v>
      </c>
      <c r="L123" s="19" t="s">
        <v>61</v>
      </c>
      <c r="M123" s="399" t="str">
        <f t="shared" si="9"/>
        <v>-</v>
      </c>
      <c r="N123" s="207"/>
      <c r="O123" s="414" t="str">
        <f t="shared" si="6"/>
        <v>-</v>
      </c>
      <c r="P123" s="233" t="e">
        <f>O123*1000</f>
        <v>#VALUE!</v>
      </c>
    </row>
    <row r="124" spans="1:16" ht="18.95" hidden="1" customHeight="1">
      <c r="B124" s="18" t="s">
        <v>611</v>
      </c>
      <c r="C124" s="15" t="s">
        <v>612</v>
      </c>
      <c r="D124" s="15" t="s">
        <v>613</v>
      </c>
      <c r="F124" s="19"/>
      <c r="G124" s="273"/>
      <c r="H124" s="273"/>
      <c r="I124" s="274"/>
      <c r="J124" s="385"/>
      <c r="K124" s="206">
        <v>0.99</v>
      </c>
      <c r="L124" s="19" t="s">
        <v>61</v>
      </c>
      <c r="M124" s="399"/>
      <c r="N124" s="207"/>
      <c r="O124" s="414"/>
    </row>
    <row r="125" spans="1:16" ht="18.95" customHeight="1" thickBot="1">
      <c r="B125" s="43" t="s">
        <v>999</v>
      </c>
      <c r="C125" s="28" t="s">
        <v>1000</v>
      </c>
      <c r="D125" s="28" t="s">
        <v>1001</v>
      </c>
      <c r="E125" s="35"/>
      <c r="F125" s="453" t="str">
        <f>15*0.9&amp;"L"</f>
        <v>13.5L</v>
      </c>
      <c r="G125" s="454">
        <v>13500</v>
      </c>
      <c r="H125" s="454"/>
      <c r="I125" s="455">
        <v>381817</v>
      </c>
      <c r="J125" s="386">
        <f>I125/$J$3</f>
        <v>23.367013463892288</v>
      </c>
      <c r="K125" s="208">
        <v>0.99</v>
      </c>
      <c r="L125" s="44" t="s">
        <v>61</v>
      </c>
      <c r="M125" s="475">
        <v>25.45</v>
      </c>
      <c r="N125" s="209"/>
      <c r="O125" s="415">
        <f>IFERROR(M125*(1+N125),"-")</f>
        <v>25.45</v>
      </c>
    </row>
    <row r="126" spans="1:16" ht="18.95" hidden="1" customHeight="1" thickTop="1" thickBot="1">
      <c r="B126" s="19" t="s">
        <v>1154</v>
      </c>
      <c r="C126" s="15" t="s">
        <v>104</v>
      </c>
      <c r="D126" s="15" t="s">
        <v>1155</v>
      </c>
      <c r="F126" s="19" t="s">
        <v>869</v>
      </c>
      <c r="G126" s="273">
        <v>500</v>
      </c>
      <c r="H126" s="273"/>
      <c r="I126" s="430">
        <v>7000</v>
      </c>
      <c r="J126" s="386">
        <f>I126/$J$3</f>
        <v>0.42839657282741739</v>
      </c>
      <c r="K126" s="208">
        <v>0.99</v>
      </c>
      <c r="L126" s="44" t="s">
        <v>61</v>
      </c>
      <c r="M126" s="400">
        <f>IFERROR(I126/G126/K126,"-")</f>
        <v>14.141414141414142</v>
      </c>
      <c r="N126" s="207"/>
      <c r="O126" s="414"/>
    </row>
    <row r="127" spans="1:16" ht="18.95" hidden="1" customHeight="1" thickTop="1">
      <c r="A127" s="46"/>
      <c r="B127" s="47" t="s">
        <v>252</v>
      </c>
      <c r="C127" s="15" t="s">
        <v>281</v>
      </c>
      <c r="D127" s="15" t="s">
        <v>282</v>
      </c>
      <c r="F127" s="24"/>
      <c r="G127" s="232"/>
      <c r="H127" s="232"/>
      <c r="I127" s="283"/>
      <c r="J127" s="387"/>
      <c r="K127" s="210">
        <v>0.95</v>
      </c>
      <c r="L127" s="24" t="s">
        <v>61</v>
      </c>
      <c r="M127" s="401" t="str">
        <f t="shared" si="9"/>
        <v>-</v>
      </c>
      <c r="N127" s="211"/>
      <c r="O127" s="416" t="str">
        <f t="shared" si="6"/>
        <v>-</v>
      </c>
    </row>
    <row r="128" spans="1:16" ht="18.95" hidden="1" customHeight="1">
      <c r="A128" s="46"/>
      <c r="B128" s="47" t="s">
        <v>678</v>
      </c>
      <c r="C128" s="15" t="s">
        <v>283</v>
      </c>
      <c r="D128" s="15" t="s">
        <v>807</v>
      </c>
      <c r="F128" s="24"/>
      <c r="G128" s="232"/>
      <c r="H128" s="232"/>
      <c r="I128" s="283"/>
      <c r="J128" s="387"/>
      <c r="K128" s="210">
        <v>0.9</v>
      </c>
      <c r="L128" s="24" t="s">
        <v>61</v>
      </c>
      <c r="M128" s="401" t="str">
        <f t="shared" si="9"/>
        <v>-</v>
      </c>
      <c r="N128" s="211"/>
      <c r="O128" s="416" t="str">
        <f t="shared" si="6"/>
        <v>-</v>
      </c>
    </row>
    <row r="129" spans="1:15" ht="18.95" customHeight="1" thickTop="1">
      <c r="A129" s="46"/>
      <c r="B129" s="47" t="s">
        <v>672</v>
      </c>
      <c r="C129" s="15" t="s">
        <v>284</v>
      </c>
      <c r="D129" s="15" t="s">
        <v>293</v>
      </c>
      <c r="F129" s="24" t="s">
        <v>994</v>
      </c>
      <c r="G129" s="281">
        <v>1000</v>
      </c>
      <c r="H129" s="281"/>
      <c r="I129" s="282">
        <v>24700</v>
      </c>
      <c r="J129" s="387">
        <f>I129/$J$3</f>
        <v>1.5116279069767442</v>
      </c>
      <c r="K129" s="210">
        <v>0.95</v>
      </c>
      <c r="L129" s="24" t="s">
        <v>61</v>
      </c>
      <c r="M129" s="474">
        <v>22</v>
      </c>
      <c r="N129" s="211"/>
      <c r="O129" s="416">
        <f t="shared" si="6"/>
        <v>22</v>
      </c>
    </row>
    <row r="130" spans="1:15" ht="18.95" customHeight="1">
      <c r="A130" s="46"/>
      <c r="B130" s="47" t="s">
        <v>253</v>
      </c>
      <c r="C130" s="15" t="s">
        <v>285</v>
      </c>
      <c r="D130" s="15" t="s">
        <v>294</v>
      </c>
      <c r="F130" s="24" t="s">
        <v>994</v>
      </c>
      <c r="G130" s="281">
        <v>1000</v>
      </c>
      <c r="H130" s="281"/>
      <c r="I130" s="282">
        <v>11000</v>
      </c>
      <c r="J130" s="387">
        <f t="shared" ref="J130:J193" si="10">I130/$J$3</f>
        <v>0.67319461444308448</v>
      </c>
      <c r="K130" s="210">
        <v>0.9</v>
      </c>
      <c r="L130" s="24" t="s">
        <v>61</v>
      </c>
      <c r="M130" s="401">
        <f t="shared" ref="M130:M189" si="11">IFERROR(I130/G130/K130,"-")</f>
        <v>12.222222222222221</v>
      </c>
      <c r="N130" s="211"/>
      <c r="O130" s="416">
        <f t="shared" si="6"/>
        <v>12.222222222222221</v>
      </c>
    </row>
    <row r="131" spans="1:15" ht="18.95" customHeight="1">
      <c r="A131" s="46"/>
      <c r="B131" s="47" t="s">
        <v>254</v>
      </c>
      <c r="C131" s="15" t="s">
        <v>286</v>
      </c>
      <c r="D131" s="15" t="s">
        <v>295</v>
      </c>
      <c r="F131" s="24" t="s">
        <v>994</v>
      </c>
      <c r="G131" s="281">
        <v>1000</v>
      </c>
      <c r="H131" s="281"/>
      <c r="I131" s="282">
        <v>13000</v>
      </c>
      <c r="J131" s="387">
        <f t="shared" si="10"/>
        <v>0.79559363525091797</v>
      </c>
      <c r="K131" s="210">
        <v>0.9</v>
      </c>
      <c r="L131" s="24" t="s">
        <v>61</v>
      </c>
      <c r="M131" s="401">
        <f t="shared" si="11"/>
        <v>14.444444444444445</v>
      </c>
      <c r="N131" s="211"/>
      <c r="O131" s="416">
        <f t="shared" si="6"/>
        <v>14.444444444444445</v>
      </c>
    </row>
    <row r="132" spans="1:15" ht="18.75" hidden="1" customHeight="1">
      <c r="A132" s="46"/>
      <c r="B132" s="47" t="s">
        <v>255</v>
      </c>
      <c r="C132" s="15" t="s">
        <v>288</v>
      </c>
      <c r="D132" s="15" t="s">
        <v>300</v>
      </c>
      <c r="F132" s="24"/>
      <c r="G132" s="232"/>
      <c r="H132" s="232"/>
      <c r="I132" s="283"/>
      <c r="J132" s="387">
        <f t="shared" si="10"/>
        <v>0</v>
      </c>
      <c r="K132" s="210">
        <v>0.99</v>
      </c>
      <c r="L132" s="24" t="s">
        <v>61</v>
      </c>
      <c r="M132" s="401" t="str">
        <f t="shared" si="11"/>
        <v>-</v>
      </c>
      <c r="N132" s="211"/>
      <c r="O132" s="416" t="str">
        <f t="shared" si="6"/>
        <v>-</v>
      </c>
    </row>
    <row r="133" spans="1:15" ht="18.95" customHeight="1">
      <c r="A133" s="46"/>
      <c r="B133" s="47" t="s">
        <v>670</v>
      </c>
      <c r="C133" s="15" t="s">
        <v>287</v>
      </c>
      <c r="D133" s="15" t="s">
        <v>296</v>
      </c>
      <c r="F133" s="24" t="s">
        <v>994</v>
      </c>
      <c r="G133" s="281">
        <v>1000</v>
      </c>
      <c r="H133" s="281"/>
      <c r="I133" s="282">
        <v>32000</v>
      </c>
      <c r="J133" s="387">
        <f t="shared" si="10"/>
        <v>1.9583843329253365</v>
      </c>
      <c r="K133" s="210">
        <v>0.95</v>
      </c>
      <c r="L133" s="24" t="s">
        <v>61</v>
      </c>
      <c r="M133" s="401">
        <v>32</v>
      </c>
      <c r="N133" s="211"/>
      <c r="O133" s="416">
        <f t="shared" si="6"/>
        <v>32</v>
      </c>
    </row>
    <row r="134" spans="1:15" ht="18.95" customHeight="1">
      <c r="A134" s="46"/>
      <c r="B134" s="47" t="s">
        <v>673</v>
      </c>
      <c r="C134" s="15" t="s">
        <v>289</v>
      </c>
      <c r="D134" s="15" t="s">
        <v>297</v>
      </c>
      <c r="F134" s="24" t="s">
        <v>1002</v>
      </c>
      <c r="G134" s="281">
        <v>5000</v>
      </c>
      <c r="H134" s="281"/>
      <c r="I134" s="470">
        <v>71501.06</v>
      </c>
      <c r="J134" s="387">
        <f t="shared" si="10"/>
        <v>4.3758298653610765</v>
      </c>
      <c r="K134" s="210">
        <v>2</v>
      </c>
      <c r="L134" s="24" t="s">
        <v>61</v>
      </c>
      <c r="M134" s="401">
        <v>14</v>
      </c>
      <c r="N134" s="211"/>
      <c r="O134" s="416">
        <f t="shared" si="6"/>
        <v>14</v>
      </c>
    </row>
    <row r="135" spans="1:15" ht="18.95" customHeight="1">
      <c r="A135" s="46"/>
      <c r="B135" s="47" t="s">
        <v>688</v>
      </c>
      <c r="C135" s="15" t="s">
        <v>290</v>
      </c>
      <c r="D135" s="15" t="s">
        <v>298</v>
      </c>
      <c r="F135" s="24" t="s">
        <v>994</v>
      </c>
      <c r="G135" s="281">
        <v>1000</v>
      </c>
      <c r="H135" s="281"/>
      <c r="I135" s="282">
        <v>23000</v>
      </c>
      <c r="J135" s="387">
        <f t="shared" si="10"/>
        <v>1.4075887392900857</v>
      </c>
      <c r="K135" s="210">
        <v>0.95</v>
      </c>
      <c r="L135" s="24" t="s">
        <v>61</v>
      </c>
      <c r="M135" s="401">
        <f t="shared" si="11"/>
        <v>24.210526315789476</v>
      </c>
      <c r="N135" s="211"/>
      <c r="O135" s="416">
        <f t="shared" si="6"/>
        <v>24.210526315789476</v>
      </c>
    </row>
    <row r="136" spans="1:15" ht="18.95" hidden="1" customHeight="1">
      <c r="A136" s="46"/>
      <c r="B136" s="47" t="s">
        <v>256</v>
      </c>
      <c r="C136" s="15" t="s">
        <v>291</v>
      </c>
      <c r="D136" s="15" t="s">
        <v>299</v>
      </c>
      <c r="F136" s="24"/>
      <c r="G136" s="232"/>
      <c r="H136" s="232"/>
      <c r="I136" s="283"/>
      <c r="J136" s="387">
        <f t="shared" si="10"/>
        <v>0</v>
      </c>
      <c r="K136" s="210">
        <v>0.98</v>
      </c>
      <c r="L136" s="24" t="s">
        <v>61</v>
      </c>
      <c r="M136" s="401" t="str">
        <f t="shared" si="11"/>
        <v>-</v>
      </c>
      <c r="N136" s="211"/>
      <c r="O136" s="416" t="str">
        <f t="shared" si="6"/>
        <v>-</v>
      </c>
    </row>
    <row r="137" spans="1:15" ht="18.95" hidden="1" customHeight="1">
      <c r="A137" s="46"/>
      <c r="B137" s="47" t="s">
        <v>739</v>
      </c>
      <c r="C137" s="15" t="s">
        <v>292</v>
      </c>
      <c r="D137" s="15" t="s">
        <v>301</v>
      </c>
      <c r="F137" s="24"/>
      <c r="G137" s="232"/>
      <c r="H137" s="232"/>
      <c r="I137" s="283"/>
      <c r="J137" s="387">
        <f t="shared" si="10"/>
        <v>0</v>
      </c>
      <c r="K137" s="210">
        <v>0.98</v>
      </c>
      <c r="L137" s="24" t="s">
        <v>61</v>
      </c>
      <c r="M137" s="401" t="str">
        <f t="shared" si="11"/>
        <v>-</v>
      </c>
      <c r="N137" s="211"/>
      <c r="O137" s="416" t="str">
        <f t="shared" si="6"/>
        <v>-</v>
      </c>
    </row>
    <row r="138" spans="1:15" ht="18.95" hidden="1" customHeight="1">
      <c r="A138" s="46"/>
      <c r="B138" s="47" t="s">
        <v>257</v>
      </c>
      <c r="C138" s="15" t="s">
        <v>302</v>
      </c>
      <c r="D138" s="15" t="s">
        <v>318</v>
      </c>
      <c r="F138" s="24"/>
      <c r="G138" s="232"/>
      <c r="H138" s="232"/>
      <c r="I138" s="283"/>
      <c r="J138" s="387">
        <f t="shared" si="10"/>
        <v>0</v>
      </c>
      <c r="K138" s="210">
        <v>0.98</v>
      </c>
      <c r="L138" s="24" t="s">
        <v>61</v>
      </c>
      <c r="M138" s="401" t="str">
        <f t="shared" si="11"/>
        <v>-</v>
      </c>
      <c r="N138" s="211"/>
      <c r="O138" s="416" t="str">
        <f t="shared" si="6"/>
        <v>-</v>
      </c>
    </row>
    <row r="139" spans="1:15" ht="18.95" hidden="1" customHeight="1">
      <c r="A139" s="46"/>
      <c r="B139" s="47" t="s">
        <v>258</v>
      </c>
      <c r="C139" s="15" t="s">
        <v>303</v>
      </c>
      <c r="D139" s="15" t="s">
        <v>319</v>
      </c>
      <c r="F139" s="24"/>
      <c r="G139" s="232"/>
      <c r="H139" s="232"/>
      <c r="I139" s="283"/>
      <c r="J139" s="387">
        <f t="shared" si="10"/>
        <v>0</v>
      </c>
      <c r="K139" s="210">
        <v>0.98</v>
      </c>
      <c r="L139" s="24" t="s">
        <v>61</v>
      </c>
      <c r="M139" s="401" t="str">
        <f t="shared" si="11"/>
        <v>-</v>
      </c>
      <c r="N139" s="211"/>
      <c r="O139" s="416" t="str">
        <f t="shared" si="6"/>
        <v>-</v>
      </c>
    </row>
    <row r="140" spans="1:15" ht="18.95" hidden="1" customHeight="1">
      <c r="A140" s="46"/>
      <c r="B140" s="47" t="s">
        <v>259</v>
      </c>
      <c r="C140" s="15" t="s">
        <v>304</v>
      </c>
      <c r="D140" s="15" t="s">
        <v>320</v>
      </c>
      <c r="F140" s="24"/>
      <c r="G140" s="232"/>
      <c r="H140" s="232"/>
      <c r="I140" s="283"/>
      <c r="J140" s="387">
        <f t="shared" si="10"/>
        <v>0</v>
      </c>
      <c r="K140" s="210">
        <v>0.98</v>
      </c>
      <c r="L140" s="24" t="s">
        <v>61</v>
      </c>
      <c r="M140" s="401" t="str">
        <f t="shared" si="11"/>
        <v>-</v>
      </c>
      <c r="N140" s="211"/>
      <c r="O140" s="416" t="str">
        <f t="shared" si="6"/>
        <v>-</v>
      </c>
    </row>
    <row r="141" spans="1:15" ht="18.95" hidden="1" customHeight="1">
      <c r="A141" s="46"/>
      <c r="B141" s="47" t="s">
        <v>260</v>
      </c>
      <c r="C141" s="15" t="s">
        <v>305</v>
      </c>
      <c r="D141" s="15" t="s">
        <v>321</v>
      </c>
      <c r="F141" s="24"/>
      <c r="G141" s="232"/>
      <c r="H141" s="232"/>
      <c r="I141" s="283"/>
      <c r="J141" s="387">
        <f t="shared" si="10"/>
        <v>0</v>
      </c>
      <c r="K141" s="210">
        <v>0.98</v>
      </c>
      <c r="L141" s="24" t="s">
        <v>61</v>
      </c>
      <c r="M141" s="401" t="str">
        <f t="shared" si="11"/>
        <v>-</v>
      </c>
      <c r="N141" s="211"/>
      <c r="O141" s="416" t="str">
        <f t="shared" si="6"/>
        <v>-</v>
      </c>
    </row>
    <row r="142" spans="1:15" ht="18.95" hidden="1" customHeight="1">
      <c r="A142" s="46"/>
      <c r="B142" s="47" t="s">
        <v>738</v>
      </c>
      <c r="C142" s="15" t="s">
        <v>323</v>
      </c>
      <c r="D142" s="15" t="s">
        <v>322</v>
      </c>
      <c r="F142" s="24"/>
      <c r="G142" s="232"/>
      <c r="H142" s="232"/>
      <c r="I142" s="283"/>
      <c r="J142" s="387">
        <f t="shared" si="10"/>
        <v>0</v>
      </c>
      <c r="K142" s="210">
        <v>0.98</v>
      </c>
      <c r="L142" s="24" t="s">
        <v>61</v>
      </c>
      <c r="M142" s="401" t="str">
        <f t="shared" si="11"/>
        <v>-</v>
      </c>
      <c r="N142" s="211"/>
      <c r="O142" s="416" t="str">
        <f t="shared" si="6"/>
        <v>-</v>
      </c>
    </row>
    <row r="143" spans="1:15" ht="18.95" hidden="1" customHeight="1">
      <c r="A143" s="46"/>
      <c r="B143" s="47" t="s">
        <v>261</v>
      </c>
      <c r="C143" s="15" t="s">
        <v>306</v>
      </c>
      <c r="D143" s="15" t="s">
        <v>324</v>
      </c>
      <c r="F143" s="24"/>
      <c r="G143" s="232"/>
      <c r="H143" s="232"/>
      <c r="I143" s="283"/>
      <c r="J143" s="387">
        <f t="shared" si="10"/>
        <v>0</v>
      </c>
      <c r="K143" s="210">
        <v>0.99</v>
      </c>
      <c r="L143" s="24" t="s">
        <v>61</v>
      </c>
      <c r="M143" s="401" t="str">
        <f t="shared" si="11"/>
        <v>-</v>
      </c>
      <c r="N143" s="211"/>
      <c r="O143" s="416" t="str">
        <f t="shared" si="6"/>
        <v>-</v>
      </c>
    </row>
    <row r="144" spans="1:15" ht="18.95" hidden="1" customHeight="1">
      <c r="A144" s="46"/>
      <c r="B144" s="47" t="s">
        <v>262</v>
      </c>
      <c r="C144" s="15" t="s">
        <v>307</v>
      </c>
      <c r="D144" s="15" t="s">
        <v>325</v>
      </c>
      <c r="F144" s="24"/>
      <c r="G144" s="232"/>
      <c r="H144" s="232"/>
      <c r="I144" s="283"/>
      <c r="J144" s="387">
        <f t="shared" si="10"/>
        <v>0</v>
      </c>
      <c r="K144" s="210">
        <v>0.99</v>
      </c>
      <c r="L144" s="24" t="s">
        <v>61</v>
      </c>
      <c r="M144" s="401" t="str">
        <f t="shared" si="11"/>
        <v>-</v>
      </c>
      <c r="N144" s="211"/>
      <c r="O144" s="416" t="str">
        <f t="shared" si="6"/>
        <v>-</v>
      </c>
    </row>
    <row r="145" spans="1:15" ht="18.95" hidden="1" customHeight="1">
      <c r="A145" s="46"/>
      <c r="B145" s="47" t="s">
        <v>263</v>
      </c>
      <c r="C145" s="15" t="s">
        <v>308</v>
      </c>
      <c r="D145" s="15" t="s">
        <v>326</v>
      </c>
      <c r="F145" s="24"/>
      <c r="G145" s="232"/>
      <c r="H145" s="232"/>
      <c r="I145" s="283"/>
      <c r="J145" s="387">
        <f t="shared" si="10"/>
        <v>0</v>
      </c>
      <c r="K145" s="210">
        <v>0.98</v>
      </c>
      <c r="L145" s="24" t="s">
        <v>61</v>
      </c>
      <c r="M145" s="401" t="str">
        <f t="shared" si="11"/>
        <v>-</v>
      </c>
      <c r="N145" s="211"/>
      <c r="O145" s="416" t="str">
        <f t="shared" si="6"/>
        <v>-</v>
      </c>
    </row>
    <row r="146" spans="1:15" ht="18.95" hidden="1" customHeight="1">
      <c r="A146" s="46"/>
      <c r="B146" s="47" t="s">
        <v>714</v>
      </c>
      <c r="C146" s="15" t="s">
        <v>309</v>
      </c>
      <c r="D146" s="15" t="s">
        <v>327</v>
      </c>
      <c r="F146" s="24"/>
      <c r="G146" s="232"/>
      <c r="H146" s="232"/>
      <c r="I146" s="283"/>
      <c r="J146" s="387">
        <f t="shared" si="10"/>
        <v>0</v>
      </c>
      <c r="K146" s="210">
        <v>0.99</v>
      </c>
      <c r="L146" s="24" t="s">
        <v>61</v>
      </c>
      <c r="M146" s="401" t="str">
        <f t="shared" si="11"/>
        <v>-</v>
      </c>
      <c r="N146" s="211"/>
      <c r="O146" s="416" t="str">
        <f t="shared" si="6"/>
        <v>-</v>
      </c>
    </row>
    <row r="147" spans="1:15" ht="18.95" hidden="1" customHeight="1">
      <c r="A147" s="46"/>
      <c r="B147" s="47" t="s">
        <v>264</v>
      </c>
      <c r="C147" s="15" t="s">
        <v>310</v>
      </c>
      <c r="D147" s="15" t="s">
        <v>328</v>
      </c>
      <c r="F147" s="24"/>
      <c r="G147" s="232"/>
      <c r="H147" s="232"/>
      <c r="I147" s="283"/>
      <c r="J147" s="387">
        <f t="shared" si="10"/>
        <v>0</v>
      </c>
      <c r="K147" s="210">
        <v>0.98</v>
      </c>
      <c r="L147" s="24" t="s">
        <v>61</v>
      </c>
      <c r="M147" s="401" t="str">
        <f t="shared" si="11"/>
        <v>-</v>
      </c>
      <c r="N147" s="211"/>
      <c r="O147" s="416" t="str">
        <f t="shared" si="6"/>
        <v>-</v>
      </c>
    </row>
    <row r="148" spans="1:15" ht="18.95" hidden="1" customHeight="1">
      <c r="A148" s="46"/>
      <c r="B148" s="47" t="s">
        <v>265</v>
      </c>
      <c r="C148" s="15" t="s">
        <v>311</v>
      </c>
      <c r="D148" s="15" t="s">
        <v>329</v>
      </c>
      <c r="F148" s="24"/>
      <c r="G148" s="232"/>
      <c r="H148" s="232"/>
      <c r="I148" s="283"/>
      <c r="J148" s="387">
        <f t="shared" si="10"/>
        <v>0</v>
      </c>
      <c r="K148" s="210">
        <v>0.98</v>
      </c>
      <c r="L148" s="24" t="s">
        <v>61</v>
      </c>
      <c r="M148" s="401" t="str">
        <f t="shared" si="11"/>
        <v>-</v>
      </c>
      <c r="N148" s="211"/>
      <c r="O148" s="416" t="str">
        <f t="shared" si="6"/>
        <v>-</v>
      </c>
    </row>
    <row r="149" spans="1:15" ht="18.95" hidden="1" customHeight="1">
      <c r="A149" s="46"/>
      <c r="B149" s="47" t="s">
        <v>266</v>
      </c>
      <c r="C149" s="248" t="s">
        <v>312</v>
      </c>
      <c r="D149" s="15" t="s">
        <v>330</v>
      </c>
      <c r="F149" s="24"/>
      <c r="G149" s="232"/>
      <c r="H149" s="232"/>
      <c r="I149" s="283"/>
      <c r="J149" s="387">
        <f t="shared" si="10"/>
        <v>0</v>
      </c>
      <c r="K149" s="210">
        <v>0.98</v>
      </c>
      <c r="L149" s="24" t="s">
        <v>61</v>
      </c>
      <c r="M149" s="401" t="str">
        <f t="shared" si="11"/>
        <v>-</v>
      </c>
      <c r="N149" s="211"/>
      <c r="O149" s="416" t="str">
        <f t="shared" ref="O149:O212" si="12">IFERROR(M149*(1+N149),"-")</f>
        <v>-</v>
      </c>
    </row>
    <row r="150" spans="1:15" ht="18.95" customHeight="1">
      <c r="A150" s="46"/>
      <c r="B150" s="47" t="s">
        <v>267</v>
      </c>
      <c r="C150" s="15" t="s">
        <v>1139</v>
      </c>
      <c r="D150" s="15" t="s">
        <v>1140</v>
      </c>
      <c r="F150" s="24" t="s">
        <v>994</v>
      </c>
      <c r="G150" s="232">
        <v>1000</v>
      </c>
      <c r="H150" s="232"/>
      <c r="I150" s="282">
        <v>25500</v>
      </c>
      <c r="J150" s="387">
        <f t="shared" si="10"/>
        <v>1.5605875152998776</v>
      </c>
      <c r="K150" s="210">
        <v>0.95</v>
      </c>
      <c r="L150" s="24" t="s">
        <v>61</v>
      </c>
      <c r="M150" s="401">
        <f t="shared" si="11"/>
        <v>26.842105263157897</v>
      </c>
      <c r="N150" s="211"/>
      <c r="O150" s="416">
        <f t="shared" si="12"/>
        <v>26.842105263157897</v>
      </c>
    </row>
    <row r="151" spans="1:15" ht="18.95" hidden="1" customHeight="1">
      <c r="A151" s="46"/>
      <c r="B151" s="47" t="s">
        <v>268</v>
      </c>
      <c r="C151" s="15" t="s">
        <v>313</v>
      </c>
      <c r="D151" s="15" t="s">
        <v>331</v>
      </c>
      <c r="F151" s="24"/>
      <c r="G151" s="232"/>
      <c r="H151" s="232"/>
      <c r="I151" s="283"/>
      <c r="J151" s="387">
        <f t="shared" si="10"/>
        <v>0</v>
      </c>
      <c r="K151" s="210">
        <v>0.95</v>
      </c>
      <c r="L151" s="24" t="s">
        <v>61</v>
      </c>
      <c r="M151" s="401" t="str">
        <f t="shared" si="11"/>
        <v>-</v>
      </c>
      <c r="N151" s="211"/>
      <c r="O151" s="416" t="str">
        <f t="shared" si="12"/>
        <v>-</v>
      </c>
    </row>
    <row r="152" spans="1:15" ht="18.95" hidden="1" customHeight="1">
      <c r="A152" s="46"/>
      <c r="B152" s="47" t="s">
        <v>269</v>
      </c>
      <c r="C152" s="15" t="s">
        <v>314</v>
      </c>
      <c r="D152" s="15" t="s">
        <v>332</v>
      </c>
      <c r="F152" s="24"/>
      <c r="G152" s="232"/>
      <c r="H152" s="232"/>
      <c r="I152" s="283"/>
      <c r="J152" s="387">
        <f t="shared" si="10"/>
        <v>0</v>
      </c>
      <c r="K152" s="210">
        <v>0.95</v>
      </c>
      <c r="L152" s="24" t="s">
        <v>61</v>
      </c>
      <c r="M152" s="401" t="str">
        <f t="shared" si="11"/>
        <v>-</v>
      </c>
      <c r="N152" s="211"/>
      <c r="O152" s="416" t="str">
        <f t="shared" si="12"/>
        <v>-</v>
      </c>
    </row>
    <row r="153" spans="1:15" ht="18.95" hidden="1" customHeight="1">
      <c r="A153" s="46"/>
      <c r="B153" s="47" t="s">
        <v>270</v>
      </c>
      <c r="C153" s="15" t="s">
        <v>315</v>
      </c>
      <c r="D153" s="15" t="s">
        <v>333</v>
      </c>
      <c r="F153" s="24"/>
      <c r="G153" s="232"/>
      <c r="H153" s="232"/>
      <c r="I153" s="283"/>
      <c r="J153" s="387">
        <f t="shared" si="10"/>
        <v>0</v>
      </c>
      <c r="K153" s="210">
        <v>0.99</v>
      </c>
      <c r="L153" s="24" t="s">
        <v>61</v>
      </c>
      <c r="M153" s="401" t="str">
        <f t="shared" si="11"/>
        <v>-</v>
      </c>
      <c r="N153" s="211"/>
      <c r="O153" s="416" t="str">
        <f t="shared" si="12"/>
        <v>-</v>
      </c>
    </row>
    <row r="154" spans="1:15" ht="18.95" hidden="1" customHeight="1">
      <c r="A154" s="46"/>
      <c r="B154" s="47" t="s">
        <v>271</v>
      </c>
      <c r="C154" s="15" t="s">
        <v>316</v>
      </c>
      <c r="D154" s="15" t="s">
        <v>334</v>
      </c>
      <c r="F154" s="24"/>
      <c r="G154" s="232"/>
      <c r="H154" s="232"/>
      <c r="I154" s="283"/>
      <c r="J154" s="387">
        <f t="shared" si="10"/>
        <v>0</v>
      </c>
      <c r="K154" s="210">
        <v>0.95</v>
      </c>
      <c r="L154" s="24" t="s">
        <v>61</v>
      </c>
      <c r="M154" s="401" t="str">
        <f t="shared" si="11"/>
        <v>-</v>
      </c>
      <c r="N154" s="211"/>
      <c r="O154" s="416" t="str">
        <f t="shared" si="12"/>
        <v>-</v>
      </c>
    </row>
    <row r="155" spans="1:15" ht="18.95" hidden="1" customHeight="1">
      <c r="A155" s="46"/>
      <c r="B155" s="47" t="s">
        <v>272</v>
      </c>
      <c r="C155" s="15" t="s">
        <v>317</v>
      </c>
      <c r="D155" s="15" t="s">
        <v>335</v>
      </c>
      <c r="F155" s="24"/>
      <c r="G155" s="232"/>
      <c r="H155" s="232"/>
      <c r="I155" s="283"/>
      <c r="J155" s="387">
        <f t="shared" si="10"/>
        <v>0</v>
      </c>
      <c r="K155" s="210">
        <v>0.95</v>
      </c>
      <c r="L155" s="24" t="s">
        <v>61</v>
      </c>
      <c r="M155" s="401" t="str">
        <f t="shared" si="11"/>
        <v>-</v>
      </c>
      <c r="N155" s="211"/>
      <c r="O155" s="416" t="str">
        <f t="shared" si="12"/>
        <v>-</v>
      </c>
    </row>
    <row r="156" spans="1:15" ht="18.95" hidden="1" customHeight="1">
      <c r="A156" s="46"/>
      <c r="B156" s="47" t="s">
        <v>273</v>
      </c>
      <c r="C156" s="15" t="s">
        <v>336</v>
      </c>
      <c r="D156" s="15" t="s">
        <v>351</v>
      </c>
      <c r="F156" s="24"/>
      <c r="G156" s="232"/>
      <c r="H156" s="232"/>
      <c r="I156" s="283"/>
      <c r="J156" s="387">
        <f t="shared" si="10"/>
        <v>0</v>
      </c>
      <c r="K156" s="210">
        <v>0.99</v>
      </c>
      <c r="L156" s="24" t="s">
        <v>61</v>
      </c>
      <c r="M156" s="401" t="str">
        <f t="shared" si="11"/>
        <v>-</v>
      </c>
      <c r="N156" s="211"/>
      <c r="O156" s="416" t="str">
        <f t="shared" si="12"/>
        <v>-</v>
      </c>
    </row>
    <row r="157" spans="1:15" ht="18.95" customHeight="1">
      <c r="A157" s="46"/>
      <c r="B157" s="47" t="s">
        <v>689</v>
      </c>
      <c r="C157" s="15" t="s">
        <v>337</v>
      </c>
      <c r="D157" s="15" t="s">
        <v>352</v>
      </c>
      <c r="F157" s="24" t="s">
        <v>993</v>
      </c>
      <c r="G157" s="281">
        <v>1000</v>
      </c>
      <c r="H157" s="281"/>
      <c r="I157" s="282">
        <v>11500</v>
      </c>
      <c r="J157" s="387">
        <f t="shared" si="10"/>
        <v>0.70379436964504283</v>
      </c>
      <c r="K157" s="210">
        <v>0.95</v>
      </c>
      <c r="L157" s="24" t="s">
        <v>61</v>
      </c>
      <c r="M157" s="401">
        <f t="shared" si="11"/>
        <v>12.105263157894738</v>
      </c>
      <c r="N157" s="211"/>
      <c r="O157" s="416">
        <f t="shared" si="12"/>
        <v>12.105263157894738</v>
      </c>
    </row>
    <row r="158" spans="1:15" ht="18.95" hidden="1" customHeight="1">
      <c r="A158" s="46"/>
      <c r="B158" s="47" t="s">
        <v>274</v>
      </c>
      <c r="C158" s="15" t="s">
        <v>338</v>
      </c>
      <c r="D158" s="15" t="s">
        <v>353</v>
      </c>
      <c r="F158" s="24"/>
      <c r="G158" s="232"/>
      <c r="H158" s="232"/>
      <c r="I158" s="283"/>
      <c r="J158" s="387">
        <f t="shared" si="10"/>
        <v>0</v>
      </c>
      <c r="K158" s="210">
        <v>0.95</v>
      </c>
      <c r="L158" s="24" t="s">
        <v>61</v>
      </c>
      <c r="M158" s="401" t="str">
        <f t="shared" si="11"/>
        <v>-</v>
      </c>
      <c r="N158" s="211"/>
      <c r="O158" s="416" t="str">
        <f t="shared" si="12"/>
        <v>-</v>
      </c>
    </row>
    <row r="159" spans="1:15" ht="18.95" customHeight="1">
      <c r="A159" s="46"/>
      <c r="B159" s="47" t="s">
        <v>694</v>
      </c>
      <c r="C159" s="15" t="s">
        <v>339</v>
      </c>
      <c r="D159" s="15" t="s">
        <v>354</v>
      </c>
      <c r="F159" s="24" t="s">
        <v>993</v>
      </c>
      <c r="G159" s="281">
        <v>1000</v>
      </c>
      <c r="H159" s="281"/>
      <c r="I159" s="282">
        <v>14500</v>
      </c>
      <c r="J159" s="387">
        <f t="shared" si="10"/>
        <v>0.88739290085679312</v>
      </c>
      <c r="K159" s="210">
        <v>0.95</v>
      </c>
      <c r="L159" s="24" t="s">
        <v>61</v>
      </c>
      <c r="M159" s="401">
        <f t="shared" si="11"/>
        <v>15.263157894736842</v>
      </c>
      <c r="N159" s="211"/>
      <c r="O159" s="416">
        <f t="shared" si="12"/>
        <v>15.263157894736842</v>
      </c>
    </row>
    <row r="160" spans="1:15" ht="18.95" hidden="1" customHeight="1">
      <c r="A160" s="46"/>
      <c r="B160" s="47" t="s">
        <v>275</v>
      </c>
      <c r="C160" s="15" t="s">
        <v>340</v>
      </c>
      <c r="D160" s="15" t="s">
        <v>355</v>
      </c>
      <c r="F160" s="24"/>
      <c r="G160" s="232"/>
      <c r="H160" s="232"/>
      <c r="I160" s="283"/>
      <c r="J160" s="387">
        <f t="shared" si="10"/>
        <v>0</v>
      </c>
      <c r="K160" s="210">
        <v>0.95</v>
      </c>
      <c r="L160" s="24" t="s">
        <v>61</v>
      </c>
      <c r="M160" s="401" t="str">
        <f t="shared" si="11"/>
        <v>-</v>
      </c>
      <c r="N160" s="211"/>
      <c r="O160" s="416" t="str">
        <f t="shared" si="12"/>
        <v>-</v>
      </c>
    </row>
    <row r="161" spans="1:15" ht="18.95" customHeight="1">
      <c r="A161" s="46"/>
      <c r="B161" s="431" t="s">
        <v>276</v>
      </c>
      <c r="C161" s="15" t="s">
        <v>341</v>
      </c>
      <c r="D161" s="15" t="s">
        <v>356</v>
      </c>
      <c r="F161" s="24" t="s">
        <v>993</v>
      </c>
      <c r="G161" s="281">
        <v>1000</v>
      </c>
      <c r="H161" s="281"/>
      <c r="I161" s="282">
        <v>58000</v>
      </c>
      <c r="J161" s="387">
        <f t="shared" si="10"/>
        <v>3.5495716034271725</v>
      </c>
      <c r="K161" s="210">
        <v>0.95</v>
      </c>
      <c r="L161" s="24" t="s">
        <v>61</v>
      </c>
      <c r="M161" s="401">
        <f t="shared" si="11"/>
        <v>61.05263157894737</v>
      </c>
      <c r="N161" s="211"/>
      <c r="O161" s="416">
        <f t="shared" si="12"/>
        <v>61.05263157894737</v>
      </c>
    </row>
    <row r="162" spans="1:15" ht="18.95" hidden="1" customHeight="1">
      <c r="A162" s="46"/>
      <c r="B162" s="47" t="s">
        <v>277</v>
      </c>
      <c r="C162" s="15" t="s">
        <v>342</v>
      </c>
      <c r="D162" s="15" t="s">
        <v>357</v>
      </c>
      <c r="F162" s="24"/>
      <c r="G162" s="232"/>
      <c r="H162" s="232"/>
      <c r="I162" s="283"/>
      <c r="J162" s="387">
        <f t="shared" si="10"/>
        <v>0</v>
      </c>
      <c r="K162" s="210">
        <v>0.99</v>
      </c>
      <c r="L162" s="24" t="s">
        <v>61</v>
      </c>
      <c r="M162" s="401" t="str">
        <f t="shared" si="11"/>
        <v>-</v>
      </c>
      <c r="N162" s="211"/>
      <c r="O162" s="416" t="str">
        <f t="shared" si="12"/>
        <v>-</v>
      </c>
    </row>
    <row r="163" spans="1:15" ht="18.95" hidden="1" customHeight="1">
      <c r="A163" s="46"/>
      <c r="B163" s="47" t="s">
        <v>278</v>
      </c>
      <c r="C163" s="15" t="s">
        <v>343</v>
      </c>
      <c r="D163" s="15" t="s">
        <v>358</v>
      </c>
      <c r="F163" s="24"/>
      <c r="G163" s="232"/>
      <c r="H163" s="232"/>
      <c r="I163" s="283"/>
      <c r="J163" s="387">
        <f t="shared" si="10"/>
        <v>0</v>
      </c>
      <c r="K163" s="210">
        <v>0.99</v>
      </c>
      <c r="L163" s="24" t="s">
        <v>61</v>
      </c>
      <c r="M163" s="401" t="str">
        <f t="shared" si="11"/>
        <v>-</v>
      </c>
      <c r="N163" s="211"/>
      <c r="O163" s="416" t="str">
        <f t="shared" si="12"/>
        <v>-</v>
      </c>
    </row>
    <row r="164" spans="1:15" ht="18.75" hidden="1" customHeight="1">
      <c r="A164" s="46"/>
      <c r="B164" s="47" t="s">
        <v>279</v>
      </c>
      <c r="C164" s="15" t="s">
        <v>344</v>
      </c>
      <c r="D164" s="15" t="s">
        <v>359</v>
      </c>
      <c r="F164" s="24"/>
      <c r="G164" s="232"/>
      <c r="H164" s="232"/>
      <c r="I164" s="283"/>
      <c r="J164" s="387">
        <f t="shared" si="10"/>
        <v>0</v>
      </c>
      <c r="K164" s="210">
        <v>0.99</v>
      </c>
      <c r="L164" s="24" t="s">
        <v>61</v>
      </c>
      <c r="M164" s="401" t="str">
        <f t="shared" si="11"/>
        <v>-</v>
      </c>
      <c r="N164" s="211"/>
      <c r="O164" s="416" t="str">
        <f t="shared" si="12"/>
        <v>-</v>
      </c>
    </row>
    <row r="165" spans="1:15" ht="18.95" hidden="1" customHeight="1">
      <c r="A165" s="46"/>
      <c r="B165" s="47" t="s">
        <v>715</v>
      </c>
      <c r="C165" s="15" t="s">
        <v>345</v>
      </c>
      <c r="D165" s="15" t="s">
        <v>360</v>
      </c>
      <c r="F165" s="24"/>
      <c r="G165" s="232"/>
      <c r="H165" s="232"/>
      <c r="I165" s="283"/>
      <c r="J165" s="387">
        <f t="shared" si="10"/>
        <v>0</v>
      </c>
      <c r="K165" s="210">
        <v>0.9</v>
      </c>
      <c r="L165" s="24" t="s">
        <v>61</v>
      </c>
      <c r="M165" s="401" t="str">
        <f t="shared" si="11"/>
        <v>-</v>
      </c>
      <c r="N165" s="211"/>
      <c r="O165" s="416" t="str">
        <f t="shared" si="12"/>
        <v>-</v>
      </c>
    </row>
    <row r="166" spans="1:15" ht="18.95" hidden="1" customHeight="1">
      <c r="A166" s="46"/>
      <c r="B166" s="47" t="s">
        <v>280</v>
      </c>
      <c r="C166" s="15" t="s">
        <v>346</v>
      </c>
      <c r="D166" s="15" t="s">
        <v>361</v>
      </c>
      <c r="F166" s="24"/>
      <c r="G166" s="232"/>
      <c r="H166" s="232"/>
      <c r="I166" s="283"/>
      <c r="J166" s="387">
        <f t="shared" si="10"/>
        <v>0</v>
      </c>
      <c r="K166" s="210">
        <v>0.99</v>
      </c>
      <c r="L166" s="24" t="s">
        <v>61</v>
      </c>
      <c r="M166" s="401" t="str">
        <f t="shared" si="11"/>
        <v>-</v>
      </c>
      <c r="N166" s="211"/>
      <c r="O166" s="416" t="str">
        <f t="shared" si="12"/>
        <v>-</v>
      </c>
    </row>
    <row r="167" spans="1:15" ht="18.95" customHeight="1">
      <c r="A167" s="46"/>
      <c r="B167" s="181" t="s">
        <v>740</v>
      </c>
      <c r="C167" s="15" t="s">
        <v>347</v>
      </c>
      <c r="D167" s="15" t="s">
        <v>362</v>
      </c>
      <c r="F167" s="24" t="s">
        <v>1156</v>
      </c>
      <c r="G167" s="281">
        <v>420</v>
      </c>
      <c r="H167" s="281"/>
      <c r="I167" s="282">
        <v>19900</v>
      </c>
      <c r="J167" s="387">
        <f t="shared" si="10"/>
        <v>1.2178702570379436</v>
      </c>
      <c r="K167" s="210">
        <v>0.99</v>
      </c>
      <c r="L167" s="24" t="s">
        <v>61</v>
      </c>
      <c r="M167" s="401">
        <f t="shared" si="11"/>
        <v>47.85954785954786</v>
      </c>
      <c r="N167" s="211"/>
      <c r="O167" s="416">
        <f t="shared" si="12"/>
        <v>47.85954785954786</v>
      </c>
    </row>
    <row r="168" spans="1:15" ht="18.95" hidden="1" customHeight="1">
      <c r="B168" s="181" t="s">
        <v>719</v>
      </c>
      <c r="C168" s="15" t="s">
        <v>348</v>
      </c>
      <c r="D168" s="15" t="s">
        <v>363</v>
      </c>
      <c r="F168" s="25"/>
      <c r="G168" s="25"/>
      <c r="H168" s="25"/>
      <c r="I168" s="25"/>
      <c r="J168" s="387">
        <f t="shared" si="10"/>
        <v>0</v>
      </c>
      <c r="K168" s="210">
        <v>0.95</v>
      </c>
      <c r="L168" s="24" t="s">
        <v>659</v>
      </c>
      <c r="M168" s="401" t="str">
        <f t="shared" si="11"/>
        <v>-</v>
      </c>
      <c r="N168" s="211"/>
      <c r="O168" s="416" t="str">
        <f t="shared" si="12"/>
        <v>-</v>
      </c>
    </row>
    <row r="169" spans="1:15" ht="18.75" hidden="1" customHeight="1">
      <c r="A169" s="46"/>
      <c r="B169" s="47" t="s">
        <v>366</v>
      </c>
      <c r="C169" s="15" t="s">
        <v>349</v>
      </c>
      <c r="D169" s="15" t="s">
        <v>364</v>
      </c>
      <c r="F169" s="25"/>
      <c r="G169" s="25"/>
      <c r="H169" s="25"/>
      <c r="I169" s="25"/>
      <c r="J169" s="387">
        <f t="shared" si="10"/>
        <v>0</v>
      </c>
      <c r="K169" s="210">
        <v>0.99</v>
      </c>
      <c r="L169" s="24" t="s">
        <v>61</v>
      </c>
      <c r="M169" s="401" t="str">
        <f t="shared" si="11"/>
        <v>-</v>
      </c>
      <c r="N169" s="211"/>
      <c r="O169" s="416" t="str">
        <f t="shared" si="12"/>
        <v>-</v>
      </c>
    </row>
    <row r="170" spans="1:15" ht="18.95" hidden="1" customHeight="1">
      <c r="A170" s="46"/>
      <c r="B170" s="47" t="s">
        <v>367</v>
      </c>
      <c r="C170" s="15" t="s">
        <v>350</v>
      </c>
      <c r="D170" s="15" t="s">
        <v>365</v>
      </c>
      <c r="F170" s="25"/>
      <c r="G170" s="25"/>
      <c r="H170" s="25"/>
      <c r="I170" s="25"/>
      <c r="J170" s="387">
        <f t="shared" si="10"/>
        <v>0</v>
      </c>
      <c r="K170" s="210">
        <v>0.99</v>
      </c>
      <c r="L170" s="24" t="s">
        <v>61</v>
      </c>
      <c r="M170" s="401" t="str">
        <f t="shared" si="11"/>
        <v>-</v>
      </c>
      <c r="N170" s="211"/>
      <c r="O170" s="416" t="str">
        <f t="shared" si="12"/>
        <v>-</v>
      </c>
    </row>
    <row r="171" spans="1:15" ht="18.95" hidden="1" customHeight="1">
      <c r="A171" s="46"/>
      <c r="B171" s="181" t="s">
        <v>665</v>
      </c>
      <c r="C171" s="15" t="s">
        <v>666</v>
      </c>
      <c r="D171" s="15" t="s">
        <v>667</v>
      </c>
      <c r="F171" s="25"/>
      <c r="G171" s="25"/>
      <c r="H171" s="25"/>
      <c r="I171" s="25"/>
      <c r="J171" s="387">
        <f t="shared" si="10"/>
        <v>0</v>
      </c>
      <c r="K171" s="210">
        <v>0.99</v>
      </c>
      <c r="L171" s="24" t="s">
        <v>61</v>
      </c>
      <c r="M171" s="401" t="str">
        <f t="shared" si="11"/>
        <v>-</v>
      </c>
      <c r="N171" s="211"/>
      <c r="O171" s="416" t="str">
        <f t="shared" si="12"/>
        <v>-</v>
      </c>
    </row>
    <row r="172" spans="1:15" ht="18.95" hidden="1" customHeight="1">
      <c r="A172" s="46"/>
      <c r="B172" s="181" t="s">
        <v>668</v>
      </c>
      <c r="C172" s="15" t="s">
        <v>705</v>
      </c>
      <c r="D172" s="15" t="s">
        <v>705</v>
      </c>
      <c r="F172" s="25"/>
      <c r="G172" s="25"/>
      <c r="H172" s="25"/>
      <c r="I172" s="25"/>
      <c r="J172" s="387">
        <f t="shared" si="10"/>
        <v>0</v>
      </c>
      <c r="K172" s="210"/>
      <c r="L172" s="24" t="s">
        <v>61</v>
      </c>
      <c r="M172" s="401" t="str">
        <f t="shared" si="11"/>
        <v>-</v>
      </c>
      <c r="N172" s="211"/>
      <c r="O172" s="416" t="str">
        <f t="shared" si="12"/>
        <v>-</v>
      </c>
    </row>
    <row r="173" spans="1:15" ht="18.95" hidden="1" customHeight="1">
      <c r="A173" s="46"/>
      <c r="B173" s="47" t="s">
        <v>707</v>
      </c>
      <c r="C173" s="15" t="s">
        <v>708</v>
      </c>
      <c r="D173" s="15" t="s">
        <v>709</v>
      </c>
      <c r="F173" s="25"/>
      <c r="G173" s="25"/>
      <c r="H173" s="25"/>
      <c r="I173" s="25"/>
      <c r="J173" s="387">
        <f t="shared" si="10"/>
        <v>0</v>
      </c>
      <c r="K173" s="210">
        <v>0.99</v>
      </c>
      <c r="L173" s="24" t="s">
        <v>61</v>
      </c>
      <c r="M173" s="401" t="str">
        <f t="shared" si="11"/>
        <v>-</v>
      </c>
      <c r="N173" s="211"/>
      <c r="O173" s="416" t="str">
        <f t="shared" si="12"/>
        <v>-</v>
      </c>
    </row>
    <row r="174" spans="1:15" ht="18.95" hidden="1" customHeight="1">
      <c r="A174" s="46"/>
      <c r="B174" s="47" t="s">
        <v>712</v>
      </c>
      <c r="C174" s="15" t="s">
        <v>710</v>
      </c>
      <c r="D174" s="15" t="s">
        <v>711</v>
      </c>
      <c r="F174" s="25"/>
      <c r="G174" s="25"/>
      <c r="H174" s="25"/>
      <c r="I174" s="25"/>
      <c r="J174" s="387">
        <f t="shared" si="10"/>
        <v>0</v>
      </c>
      <c r="K174" s="210">
        <v>0.99</v>
      </c>
      <c r="L174" s="24" t="s">
        <v>61</v>
      </c>
      <c r="M174" s="401" t="str">
        <f t="shared" si="11"/>
        <v>-</v>
      </c>
      <c r="N174" s="211"/>
      <c r="O174" s="416" t="str">
        <f t="shared" si="12"/>
        <v>-</v>
      </c>
    </row>
    <row r="175" spans="1:15" ht="18.95" hidden="1" customHeight="1">
      <c r="A175" s="46"/>
      <c r="B175" s="47" t="s">
        <v>746</v>
      </c>
      <c r="C175" s="15" t="s">
        <v>796</v>
      </c>
      <c r="D175" s="15" t="s">
        <v>797</v>
      </c>
      <c r="F175" s="25"/>
      <c r="G175" s="25"/>
      <c r="H175" s="25"/>
      <c r="I175" s="25"/>
      <c r="J175" s="387">
        <f t="shared" si="10"/>
        <v>0</v>
      </c>
      <c r="K175" s="210">
        <v>0.95</v>
      </c>
      <c r="L175" s="24" t="s">
        <v>61</v>
      </c>
      <c r="M175" s="401" t="str">
        <f t="shared" si="11"/>
        <v>-</v>
      </c>
      <c r="N175" s="211"/>
      <c r="O175" s="416" t="str">
        <f t="shared" si="12"/>
        <v>-</v>
      </c>
    </row>
    <row r="176" spans="1:15" ht="18.95" hidden="1" customHeight="1">
      <c r="A176" s="46"/>
      <c r="B176" s="47" t="s">
        <v>800</v>
      </c>
      <c r="C176" s="15" t="s">
        <v>798</v>
      </c>
      <c r="D176" s="15" t="s">
        <v>799</v>
      </c>
      <c r="F176" s="25"/>
      <c r="G176" s="25"/>
      <c r="H176" s="25"/>
      <c r="I176" s="25"/>
      <c r="J176" s="387">
        <f t="shared" si="10"/>
        <v>0</v>
      </c>
      <c r="K176" s="210">
        <v>0.98</v>
      </c>
      <c r="L176" s="24" t="s">
        <v>61</v>
      </c>
      <c r="M176" s="401" t="str">
        <f t="shared" si="11"/>
        <v>-</v>
      </c>
      <c r="N176" s="211"/>
      <c r="O176" s="416" t="str">
        <f t="shared" si="12"/>
        <v>-</v>
      </c>
    </row>
    <row r="177" spans="1:15" ht="18.95" hidden="1" customHeight="1">
      <c r="A177" s="46"/>
      <c r="B177" s="47" t="s">
        <v>803</v>
      </c>
      <c r="C177" s="15" t="s">
        <v>801</v>
      </c>
      <c r="D177" s="15" t="s">
        <v>802</v>
      </c>
      <c r="F177" s="25"/>
      <c r="G177" s="25"/>
      <c r="H177" s="25"/>
      <c r="I177" s="25"/>
      <c r="J177" s="387">
        <f t="shared" si="10"/>
        <v>0</v>
      </c>
      <c r="K177" s="210">
        <v>0.98</v>
      </c>
      <c r="L177" s="24" t="s">
        <v>61</v>
      </c>
      <c r="M177" s="401" t="str">
        <f t="shared" si="11"/>
        <v>-</v>
      </c>
      <c r="N177" s="211"/>
      <c r="O177" s="416" t="str">
        <f t="shared" si="12"/>
        <v>-</v>
      </c>
    </row>
    <row r="178" spans="1:15" ht="18.75" customHeight="1" thickBot="1">
      <c r="A178" s="46"/>
      <c r="B178" s="48" t="s">
        <v>804</v>
      </c>
      <c r="C178" s="15" t="s">
        <v>805</v>
      </c>
      <c r="D178" s="28" t="s">
        <v>806</v>
      </c>
      <c r="F178" s="448" t="s">
        <v>994</v>
      </c>
      <c r="G178" s="432">
        <v>1000</v>
      </c>
      <c r="H178" s="432"/>
      <c r="I178" s="282">
        <v>22000</v>
      </c>
      <c r="J178" s="388">
        <f t="shared" si="10"/>
        <v>1.346389228886169</v>
      </c>
      <c r="K178" s="212">
        <v>0.98</v>
      </c>
      <c r="L178" s="49" t="s">
        <v>659</v>
      </c>
      <c r="M178" s="402">
        <v>19.5</v>
      </c>
      <c r="N178" s="214"/>
      <c r="O178" s="417">
        <f t="shared" si="12"/>
        <v>19.5</v>
      </c>
    </row>
    <row r="179" spans="1:15" ht="14.65" hidden="1" thickTop="1">
      <c r="A179" s="46"/>
      <c r="B179" s="47" t="s">
        <v>815</v>
      </c>
      <c r="C179" s="15" t="s">
        <v>816</v>
      </c>
      <c r="D179" s="15" t="s">
        <v>817</v>
      </c>
      <c r="F179" s="25"/>
      <c r="G179" s="25"/>
      <c r="H179" s="25"/>
      <c r="I179" s="25"/>
      <c r="J179" s="376">
        <f t="shared" si="10"/>
        <v>0</v>
      </c>
      <c r="K179" s="210">
        <v>0.99</v>
      </c>
      <c r="L179" s="24" t="s">
        <v>61</v>
      </c>
      <c r="M179" s="375" t="str">
        <f t="shared" si="11"/>
        <v>-</v>
      </c>
      <c r="N179" s="211"/>
      <c r="O179" s="405" t="str">
        <f t="shared" si="12"/>
        <v>-</v>
      </c>
    </row>
    <row r="180" spans="1:15" ht="14.65" hidden="1" thickTop="1">
      <c r="A180" s="46"/>
      <c r="B180" s="47" t="s">
        <v>828</v>
      </c>
      <c r="C180" s="15" t="s">
        <v>824</v>
      </c>
      <c r="D180" s="15" t="s">
        <v>825</v>
      </c>
      <c r="F180" s="25"/>
      <c r="G180" s="25"/>
      <c r="H180" s="25"/>
      <c r="I180" s="25"/>
      <c r="J180" s="376">
        <f t="shared" si="10"/>
        <v>0</v>
      </c>
      <c r="K180" s="210">
        <v>0.99</v>
      </c>
      <c r="L180" s="24" t="s">
        <v>61</v>
      </c>
      <c r="M180" s="375" t="str">
        <f t="shared" si="11"/>
        <v>-</v>
      </c>
      <c r="N180" s="211"/>
      <c r="O180" s="405" t="str">
        <f t="shared" si="12"/>
        <v>-</v>
      </c>
    </row>
    <row r="181" spans="1:15" ht="14.65" hidden="1" thickTop="1">
      <c r="A181" s="46"/>
      <c r="B181" s="47" t="s">
        <v>829</v>
      </c>
      <c r="C181" s="15" t="s">
        <v>826</v>
      </c>
      <c r="D181" s="15" t="s">
        <v>827</v>
      </c>
      <c r="F181" s="25"/>
      <c r="G181" s="25"/>
      <c r="H181" s="25"/>
      <c r="I181" s="25"/>
      <c r="J181" s="376">
        <f t="shared" si="10"/>
        <v>0</v>
      </c>
      <c r="K181" s="210">
        <v>0.99</v>
      </c>
      <c r="L181" s="24" t="s">
        <v>61</v>
      </c>
      <c r="M181" s="375" t="str">
        <f t="shared" si="11"/>
        <v>-</v>
      </c>
      <c r="N181" s="211"/>
      <c r="O181" s="405" t="str">
        <f t="shared" si="12"/>
        <v>-</v>
      </c>
    </row>
    <row r="182" spans="1:15" ht="14.65" hidden="1" thickTop="1">
      <c r="A182" s="46"/>
      <c r="B182" s="47" t="s">
        <v>836</v>
      </c>
      <c r="C182" s="15" t="s">
        <v>837</v>
      </c>
      <c r="D182" s="15" t="s">
        <v>838</v>
      </c>
      <c r="F182" s="25"/>
      <c r="G182" s="25"/>
      <c r="H182" s="25"/>
      <c r="I182" s="25"/>
      <c r="J182" s="376">
        <f t="shared" si="10"/>
        <v>0</v>
      </c>
      <c r="K182" s="210">
        <v>0.99</v>
      </c>
      <c r="L182" s="24" t="s">
        <v>61</v>
      </c>
      <c r="M182" s="375" t="str">
        <f t="shared" si="11"/>
        <v>-</v>
      </c>
      <c r="N182" s="211"/>
      <c r="O182" s="405" t="str">
        <f t="shared" si="12"/>
        <v>-</v>
      </c>
    </row>
    <row r="183" spans="1:15" ht="14.65" hidden="1" thickTop="1">
      <c r="A183" s="46"/>
      <c r="B183" s="47" t="s">
        <v>839</v>
      </c>
      <c r="C183" s="15" t="s">
        <v>840</v>
      </c>
      <c r="D183" s="15" t="s">
        <v>841</v>
      </c>
      <c r="F183" s="25"/>
      <c r="G183" s="25"/>
      <c r="H183" s="25"/>
      <c r="I183" s="25"/>
      <c r="J183" s="376">
        <f t="shared" si="10"/>
        <v>0</v>
      </c>
      <c r="K183" s="210">
        <v>0.99</v>
      </c>
      <c r="L183" s="24" t="s">
        <v>61</v>
      </c>
      <c r="M183" s="375" t="str">
        <f t="shared" si="11"/>
        <v>-</v>
      </c>
      <c r="N183" s="211"/>
      <c r="O183" s="405" t="str">
        <f t="shared" si="12"/>
        <v>-</v>
      </c>
    </row>
    <row r="184" spans="1:15" ht="14.65" hidden="1" thickTop="1">
      <c r="A184" s="46"/>
      <c r="B184" s="47" t="s">
        <v>842</v>
      </c>
      <c r="C184" s="15" t="s">
        <v>843</v>
      </c>
      <c r="D184" s="15" t="s">
        <v>844</v>
      </c>
      <c r="F184" s="25"/>
      <c r="G184" s="25"/>
      <c r="H184" s="25"/>
      <c r="I184" s="25"/>
      <c r="J184" s="376">
        <f t="shared" si="10"/>
        <v>0</v>
      </c>
      <c r="K184" s="210">
        <v>0.99</v>
      </c>
      <c r="L184" s="24" t="s">
        <v>61</v>
      </c>
      <c r="M184" s="375" t="str">
        <f t="shared" si="11"/>
        <v>-</v>
      </c>
      <c r="N184" s="211"/>
      <c r="O184" s="405" t="str">
        <f t="shared" si="12"/>
        <v>-</v>
      </c>
    </row>
    <row r="185" spans="1:15" ht="14.65" hidden="1" thickTop="1">
      <c r="A185" s="46"/>
      <c r="B185" s="47" t="s">
        <v>845</v>
      </c>
      <c r="C185" s="15" t="s">
        <v>846</v>
      </c>
      <c r="D185" s="15" t="s">
        <v>847</v>
      </c>
      <c r="F185" s="25"/>
      <c r="G185" s="25"/>
      <c r="H185" s="25"/>
      <c r="I185" s="25"/>
      <c r="J185" s="376">
        <f t="shared" si="10"/>
        <v>0</v>
      </c>
      <c r="K185" s="210">
        <v>0.99</v>
      </c>
      <c r="L185" s="24" t="s">
        <v>61</v>
      </c>
      <c r="M185" s="375" t="str">
        <f t="shared" si="11"/>
        <v>-</v>
      </c>
      <c r="N185" s="211"/>
      <c r="O185" s="405" t="str">
        <f t="shared" si="12"/>
        <v>-</v>
      </c>
    </row>
    <row r="186" spans="1:15" ht="14.65" hidden="1" thickTop="1">
      <c r="A186" s="46"/>
      <c r="B186" s="47" t="s">
        <v>936</v>
      </c>
      <c r="C186" s="15" t="s">
        <v>848</v>
      </c>
      <c r="D186" s="15" t="s">
        <v>849</v>
      </c>
      <c r="F186" s="25"/>
      <c r="G186" s="25"/>
      <c r="H186" s="25"/>
      <c r="I186" s="25"/>
      <c r="J186" s="376">
        <f t="shared" si="10"/>
        <v>0</v>
      </c>
      <c r="K186" s="210">
        <v>0.99</v>
      </c>
      <c r="L186" s="24" t="s">
        <v>61</v>
      </c>
      <c r="M186" s="375" t="str">
        <f t="shared" si="11"/>
        <v>-</v>
      </c>
      <c r="N186" s="211"/>
      <c r="O186" s="405" t="str">
        <f t="shared" si="12"/>
        <v>-</v>
      </c>
    </row>
    <row r="187" spans="1:15" ht="14.65" hidden="1" thickTop="1">
      <c r="A187" s="46"/>
      <c r="B187" s="47" t="s">
        <v>939</v>
      </c>
      <c r="C187" s="15" t="s">
        <v>937</v>
      </c>
      <c r="D187" s="15" t="s">
        <v>938</v>
      </c>
      <c r="F187" s="25"/>
      <c r="G187" s="25"/>
      <c r="H187" s="25"/>
      <c r="I187" s="25"/>
      <c r="J187" s="376">
        <f t="shared" si="10"/>
        <v>0</v>
      </c>
      <c r="K187" s="210">
        <v>0.99</v>
      </c>
      <c r="L187" s="24" t="s">
        <v>922</v>
      </c>
      <c r="M187" s="375" t="str">
        <f t="shared" si="11"/>
        <v>-</v>
      </c>
      <c r="N187" s="211"/>
      <c r="O187" s="405" t="str">
        <f t="shared" si="12"/>
        <v>-</v>
      </c>
    </row>
    <row r="188" spans="1:15" ht="14.65" hidden="1" thickTop="1">
      <c r="A188" s="46"/>
      <c r="B188" s="47" t="s">
        <v>940</v>
      </c>
      <c r="C188" s="15" t="s">
        <v>941</v>
      </c>
      <c r="D188" s="15" t="s">
        <v>942</v>
      </c>
      <c r="F188" s="25"/>
      <c r="G188" s="25"/>
      <c r="H188" s="25"/>
      <c r="I188" s="25"/>
      <c r="J188" s="376">
        <f t="shared" si="10"/>
        <v>0</v>
      </c>
      <c r="K188" s="210">
        <v>0.99</v>
      </c>
      <c r="L188" s="24" t="s">
        <v>61</v>
      </c>
      <c r="M188" s="375" t="str">
        <f t="shared" si="11"/>
        <v>-</v>
      </c>
      <c r="N188" s="211"/>
      <c r="O188" s="405" t="str">
        <f t="shared" si="12"/>
        <v>-</v>
      </c>
    </row>
    <row r="189" spans="1:15" ht="18.75" hidden="1" customHeight="1" thickBot="1">
      <c r="A189" s="46"/>
      <c r="B189" s="48" t="s">
        <v>972</v>
      </c>
      <c r="C189" s="28" t="s">
        <v>973</v>
      </c>
      <c r="D189" s="28" t="s">
        <v>974</v>
      </c>
      <c r="E189" s="35"/>
      <c r="F189" s="25"/>
      <c r="G189" s="25"/>
      <c r="H189" s="25"/>
      <c r="I189" s="213"/>
      <c r="J189" s="376">
        <f t="shared" si="10"/>
        <v>0</v>
      </c>
      <c r="K189" s="210">
        <v>0.99</v>
      </c>
      <c r="L189" s="24" t="s">
        <v>61</v>
      </c>
      <c r="M189" s="375" t="str">
        <f t="shared" si="11"/>
        <v>-</v>
      </c>
      <c r="N189" s="211"/>
      <c r="O189" s="405" t="str">
        <f t="shared" si="12"/>
        <v>-</v>
      </c>
    </row>
    <row r="190" spans="1:15" ht="18.95" hidden="1" customHeight="1" thickTop="1">
      <c r="A190" s="46"/>
      <c r="B190" s="4" t="s">
        <v>368</v>
      </c>
      <c r="C190" s="32" t="s">
        <v>392</v>
      </c>
      <c r="D190" s="15" t="s">
        <v>410</v>
      </c>
      <c r="F190" s="326"/>
      <c r="G190" s="327"/>
      <c r="H190" s="278"/>
      <c r="I190" s="277"/>
      <c r="J190" s="389">
        <f t="shared" si="10"/>
        <v>0</v>
      </c>
      <c r="K190" s="195"/>
      <c r="L190" s="50" t="s">
        <v>61</v>
      </c>
      <c r="M190" s="403" t="str">
        <f>IFERROR(I190/G190/K190,"-")</f>
        <v>-</v>
      </c>
      <c r="N190" s="215"/>
      <c r="O190" s="418" t="str">
        <f t="shared" si="12"/>
        <v>-</v>
      </c>
    </row>
    <row r="191" spans="1:15" ht="18.95" customHeight="1" thickTop="1">
      <c r="A191" s="46"/>
      <c r="B191" s="4" t="s">
        <v>369</v>
      </c>
      <c r="C191" s="15" t="s">
        <v>393</v>
      </c>
      <c r="D191" s="15" t="s">
        <v>411</v>
      </c>
      <c r="F191" s="50" t="s">
        <v>994</v>
      </c>
      <c r="G191" s="278">
        <v>1000</v>
      </c>
      <c r="H191" s="278"/>
      <c r="I191" s="279">
        <v>16500</v>
      </c>
      <c r="J191" s="389">
        <f t="shared" si="10"/>
        <v>1.0097919216646267</v>
      </c>
      <c r="K191" s="195">
        <v>0.99</v>
      </c>
      <c r="L191" s="50" t="s">
        <v>61</v>
      </c>
      <c r="M191" s="403">
        <f t="shared" ref="M191:M254" si="13">IFERROR(I191/G191/K191,"-")</f>
        <v>16.666666666666668</v>
      </c>
      <c r="N191" s="215"/>
      <c r="O191" s="418">
        <f t="shared" si="12"/>
        <v>16.666666666666668</v>
      </c>
    </row>
    <row r="192" spans="1:15" ht="18.95" customHeight="1">
      <c r="A192" s="46"/>
      <c r="B192" s="4" t="s">
        <v>706</v>
      </c>
      <c r="C192" s="15" t="s">
        <v>394</v>
      </c>
      <c r="D192" s="15" t="s">
        <v>412</v>
      </c>
      <c r="F192" s="50" t="s">
        <v>994</v>
      </c>
      <c r="G192" s="278">
        <v>1000</v>
      </c>
      <c r="H192" s="278"/>
      <c r="I192" s="279">
        <v>76590</v>
      </c>
      <c r="J192" s="389">
        <f t="shared" si="10"/>
        <v>4.687270501835985</v>
      </c>
      <c r="K192" s="195">
        <v>0.99</v>
      </c>
      <c r="L192" s="50" t="s">
        <v>61</v>
      </c>
      <c r="M192" s="474">
        <v>76.59</v>
      </c>
      <c r="N192" s="215"/>
      <c r="O192" s="418">
        <f t="shared" si="12"/>
        <v>76.59</v>
      </c>
    </row>
    <row r="193" spans="1:15" ht="18.95" customHeight="1">
      <c r="A193" s="46"/>
      <c r="B193" s="4" t="s">
        <v>641</v>
      </c>
      <c r="C193" s="15" t="s">
        <v>395</v>
      </c>
      <c r="D193" s="15" t="s">
        <v>413</v>
      </c>
      <c r="F193" s="50" t="s">
        <v>994</v>
      </c>
      <c r="G193" s="278">
        <v>1000</v>
      </c>
      <c r="H193" s="278"/>
      <c r="I193" s="279">
        <v>50000</v>
      </c>
      <c r="J193" s="389">
        <f t="shared" si="10"/>
        <v>3.0599755201958385</v>
      </c>
      <c r="K193" s="195">
        <v>0.99</v>
      </c>
      <c r="L193" s="50" t="s">
        <v>61</v>
      </c>
      <c r="M193" s="403">
        <v>50</v>
      </c>
      <c r="N193" s="215"/>
      <c r="O193" s="418">
        <f t="shared" si="12"/>
        <v>50</v>
      </c>
    </row>
    <row r="194" spans="1:15" ht="18.95" customHeight="1">
      <c r="A194" s="46"/>
      <c r="B194" s="4" t="s">
        <v>370</v>
      </c>
      <c r="C194" s="15" t="s">
        <v>396</v>
      </c>
      <c r="D194" s="15" t="s">
        <v>414</v>
      </c>
      <c r="F194" s="50" t="s">
        <v>994</v>
      </c>
      <c r="G194" s="278">
        <v>1000</v>
      </c>
      <c r="H194" s="278"/>
      <c r="I194" s="279">
        <v>61000</v>
      </c>
      <c r="J194" s="389">
        <f t="shared" ref="J194:J257" si="14">I194/$J$3</f>
        <v>3.733170134638923</v>
      </c>
      <c r="K194" s="195">
        <v>0.99</v>
      </c>
      <c r="L194" s="50" t="s">
        <v>61</v>
      </c>
      <c r="M194" s="403">
        <v>61</v>
      </c>
      <c r="N194" s="215"/>
      <c r="O194" s="418">
        <f t="shared" si="12"/>
        <v>61</v>
      </c>
    </row>
    <row r="195" spans="1:15" ht="18.75" hidden="1" customHeight="1">
      <c r="A195" s="46"/>
      <c r="B195" s="4" t="s">
        <v>730</v>
      </c>
      <c r="C195" s="15" t="s">
        <v>397</v>
      </c>
      <c r="D195" s="15" t="s">
        <v>415</v>
      </c>
      <c r="F195" s="50"/>
      <c r="G195" s="276"/>
      <c r="H195" s="276"/>
      <c r="I195" s="277"/>
      <c r="J195" s="389">
        <f t="shared" si="14"/>
        <v>0</v>
      </c>
      <c r="K195" s="195">
        <v>0.95</v>
      </c>
      <c r="L195" s="50" t="s">
        <v>61</v>
      </c>
      <c r="M195" s="403" t="str">
        <f t="shared" si="13"/>
        <v>-</v>
      </c>
      <c r="N195" s="215"/>
      <c r="O195" s="418" t="str">
        <f t="shared" si="12"/>
        <v>-</v>
      </c>
    </row>
    <row r="196" spans="1:15" ht="18.95" hidden="1" customHeight="1">
      <c r="A196" s="46"/>
      <c r="B196" s="4" t="s">
        <v>683</v>
      </c>
      <c r="C196" s="15" t="s">
        <v>398</v>
      </c>
      <c r="D196" s="15" t="s">
        <v>416</v>
      </c>
      <c r="F196" s="50"/>
      <c r="G196" s="276"/>
      <c r="H196" s="276"/>
      <c r="I196" s="277"/>
      <c r="J196" s="389">
        <f t="shared" si="14"/>
        <v>0</v>
      </c>
      <c r="K196" s="195">
        <v>0.99</v>
      </c>
      <c r="L196" s="50" t="s">
        <v>61</v>
      </c>
      <c r="M196" s="403" t="str">
        <f t="shared" si="13"/>
        <v>-</v>
      </c>
      <c r="N196" s="215"/>
      <c r="O196" s="418" t="str">
        <f t="shared" si="12"/>
        <v>-</v>
      </c>
    </row>
    <row r="197" spans="1:15" ht="18.95" hidden="1" customHeight="1">
      <c r="A197" s="46"/>
      <c r="B197" s="4" t="s">
        <v>727</v>
      </c>
      <c r="C197" s="15" t="s">
        <v>726</v>
      </c>
      <c r="D197" s="15" t="s">
        <v>417</v>
      </c>
      <c r="F197" s="50"/>
      <c r="G197" s="276"/>
      <c r="H197" s="276"/>
      <c r="I197" s="277"/>
      <c r="J197" s="389">
        <f t="shared" si="14"/>
        <v>0</v>
      </c>
      <c r="K197" s="195">
        <v>0.99</v>
      </c>
      <c r="L197" s="50" t="s">
        <v>61</v>
      </c>
      <c r="M197" s="403" t="str">
        <f t="shared" si="13"/>
        <v>-</v>
      </c>
      <c r="N197" s="215"/>
      <c r="O197" s="418" t="str">
        <f t="shared" si="12"/>
        <v>-</v>
      </c>
    </row>
    <row r="198" spans="1:15" ht="18.95" hidden="1" customHeight="1">
      <c r="A198" s="46"/>
      <c r="B198" s="4" t="s">
        <v>661</v>
      </c>
      <c r="C198" s="15" t="s">
        <v>399</v>
      </c>
      <c r="D198" s="15" t="s">
        <v>418</v>
      </c>
      <c r="F198" s="50"/>
      <c r="G198" s="276"/>
      <c r="H198" s="276"/>
      <c r="I198" s="277"/>
      <c r="J198" s="389">
        <f t="shared" si="14"/>
        <v>0</v>
      </c>
      <c r="K198" s="195">
        <v>0.99</v>
      </c>
      <c r="L198" s="50" t="s">
        <v>61</v>
      </c>
      <c r="M198" s="403" t="str">
        <f t="shared" si="13"/>
        <v>-</v>
      </c>
      <c r="N198" s="215"/>
      <c r="O198" s="418" t="str">
        <f t="shared" si="12"/>
        <v>-</v>
      </c>
    </row>
    <row r="199" spans="1:15" ht="18.95" hidden="1" customHeight="1">
      <c r="A199" s="46"/>
      <c r="B199" s="4" t="s">
        <v>662</v>
      </c>
      <c r="C199" s="15" t="s">
        <v>400</v>
      </c>
      <c r="D199" s="15" t="s">
        <v>419</v>
      </c>
      <c r="F199" s="50"/>
      <c r="G199" s="276"/>
      <c r="H199" s="276"/>
      <c r="I199" s="277"/>
      <c r="J199" s="389">
        <f t="shared" si="14"/>
        <v>0</v>
      </c>
      <c r="K199" s="195">
        <v>0.99</v>
      </c>
      <c r="L199" s="50" t="s">
        <v>659</v>
      </c>
      <c r="M199" s="403" t="str">
        <f t="shared" si="13"/>
        <v>-</v>
      </c>
      <c r="N199" s="215"/>
      <c r="O199" s="418" t="str">
        <f t="shared" si="12"/>
        <v>-</v>
      </c>
    </row>
    <row r="200" spans="1:15" ht="18.95" hidden="1" customHeight="1">
      <c r="A200" s="46"/>
      <c r="B200" s="4" t="s">
        <v>658</v>
      </c>
      <c r="C200" s="15" t="s">
        <v>421</v>
      </c>
      <c r="D200" s="15" t="s">
        <v>420</v>
      </c>
      <c r="F200" s="50"/>
      <c r="G200" s="276"/>
      <c r="H200" s="276"/>
      <c r="I200" s="277"/>
      <c r="J200" s="389">
        <f t="shared" si="14"/>
        <v>0</v>
      </c>
      <c r="K200" s="195">
        <v>0.99</v>
      </c>
      <c r="L200" s="50" t="s">
        <v>659</v>
      </c>
      <c r="M200" s="403" t="str">
        <f t="shared" si="13"/>
        <v>-</v>
      </c>
      <c r="N200" s="215"/>
      <c r="O200" s="418" t="str">
        <f t="shared" si="12"/>
        <v>-</v>
      </c>
    </row>
    <row r="201" spans="1:15" ht="18.95" hidden="1" customHeight="1">
      <c r="A201" s="46"/>
      <c r="B201" s="4" t="s">
        <v>684</v>
      </c>
      <c r="C201" s="15" t="s">
        <v>401</v>
      </c>
      <c r="D201" s="15" t="s">
        <v>422</v>
      </c>
      <c r="F201" s="50"/>
      <c r="G201" s="276"/>
      <c r="H201" s="276"/>
      <c r="I201" s="277"/>
      <c r="J201" s="389">
        <f t="shared" si="14"/>
        <v>0</v>
      </c>
      <c r="K201" s="195">
        <v>0.99</v>
      </c>
      <c r="L201" s="50" t="s">
        <v>61</v>
      </c>
      <c r="M201" s="403" t="str">
        <f t="shared" si="13"/>
        <v>-</v>
      </c>
      <c r="N201" s="215"/>
      <c r="O201" s="418" t="str">
        <f t="shared" si="12"/>
        <v>-</v>
      </c>
    </row>
    <row r="202" spans="1:15" ht="18.95" customHeight="1">
      <c r="A202" s="46"/>
      <c r="B202" s="4" t="s">
        <v>371</v>
      </c>
      <c r="C202" s="15" t="s">
        <v>402</v>
      </c>
      <c r="D202" s="15" t="s">
        <v>1003</v>
      </c>
      <c r="F202" s="50" t="s">
        <v>998</v>
      </c>
      <c r="G202" s="278">
        <v>1000</v>
      </c>
      <c r="H202" s="278"/>
      <c r="I202" s="279">
        <v>52400</v>
      </c>
      <c r="J202" s="389">
        <f t="shared" si="14"/>
        <v>3.2068543451652385</v>
      </c>
      <c r="K202" s="195">
        <v>0.99</v>
      </c>
      <c r="L202" s="50" t="s">
        <v>61</v>
      </c>
      <c r="M202" s="403">
        <v>52.4</v>
      </c>
      <c r="N202" s="215"/>
      <c r="O202" s="418">
        <f t="shared" si="12"/>
        <v>52.4</v>
      </c>
    </row>
    <row r="203" spans="1:15" ht="18.95" hidden="1" customHeight="1">
      <c r="A203" s="46"/>
      <c r="B203" s="4" t="s">
        <v>372</v>
      </c>
      <c r="C203" s="15" t="s">
        <v>403</v>
      </c>
      <c r="D203" s="15" t="s">
        <v>423</v>
      </c>
      <c r="F203" s="50"/>
      <c r="G203" s="276"/>
      <c r="H203" s="276"/>
      <c r="I203" s="277"/>
      <c r="J203" s="389">
        <f t="shared" si="14"/>
        <v>0</v>
      </c>
      <c r="K203" s="195">
        <v>0.99</v>
      </c>
      <c r="L203" s="50" t="s">
        <v>61</v>
      </c>
      <c r="M203" s="403" t="str">
        <f t="shared" si="13"/>
        <v>-</v>
      </c>
      <c r="N203" s="215"/>
      <c r="O203" s="418" t="str">
        <f t="shared" si="12"/>
        <v>-</v>
      </c>
    </row>
    <row r="204" spans="1:15" ht="18.95" customHeight="1">
      <c r="A204" s="46"/>
      <c r="B204" s="4" t="s">
        <v>674</v>
      </c>
      <c r="C204" s="15" t="s">
        <v>404</v>
      </c>
      <c r="D204" s="15" t="s">
        <v>424</v>
      </c>
      <c r="F204" s="50" t="s">
        <v>1246</v>
      </c>
      <c r="G204" s="278">
        <v>1857</v>
      </c>
      <c r="H204" s="278"/>
      <c r="I204" s="279">
        <v>68000</v>
      </c>
      <c r="J204" s="389">
        <f t="shared" si="14"/>
        <v>4.1615667074663403</v>
      </c>
      <c r="K204" s="195">
        <v>0.99</v>
      </c>
      <c r="L204" s="50" t="s">
        <v>61</v>
      </c>
      <c r="M204" s="403">
        <f t="shared" si="13"/>
        <v>36.988082222331009</v>
      </c>
      <c r="N204" s="215"/>
      <c r="O204" s="418">
        <f t="shared" si="12"/>
        <v>36.988082222331009</v>
      </c>
    </row>
    <row r="205" spans="1:15" ht="18.95" hidden="1" customHeight="1">
      <c r="A205" s="46"/>
      <c r="B205" s="4" t="s">
        <v>373</v>
      </c>
      <c r="C205" s="15" t="s">
        <v>405</v>
      </c>
      <c r="D205" s="15" t="s">
        <v>810</v>
      </c>
      <c r="F205" s="50"/>
      <c r="G205" s="276"/>
      <c r="H205" s="276"/>
      <c r="I205" s="277"/>
      <c r="J205" s="389">
        <f t="shared" si="14"/>
        <v>0</v>
      </c>
      <c r="K205" s="195">
        <v>0.99</v>
      </c>
      <c r="L205" s="50" t="s">
        <v>61</v>
      </c>
      <c r="M205" s="403" t="str">
        <f t="shared" si="13"/>
        <v>-</v>
      </c>
      <c r="N205" s="215"/>
      <c r="O205" s="418" t="str">
        <f t="shared" si="12"/>
        <v>-</v>
      </c>
    </row>
    <row r="206" spans="1:15" ht="18.95" hidden="1" customHeight="1">
      <c r="A206" s="46"/>
      <c r="B206" s="4" t="s">
        <v>722</v>
      </c>
      <c r="C206" s="15" t="s">
        <v>406</v>
      </c>
      <c r="D206" s="15" t="s">
        <v>425</v>
      </c>
      <c r="F206" s="50"/>
      <c r="G206" s="276"/>
      <c r="H206" s="276"/>
      <c r="I206" s="277"/>
      <c r="J206" s="389">
        <f t="shared" si="14"/>
        <v>0</v>
      </c>
      <c r="K206" s="195">
        <v>0.99</v>
      </c>
      <c r="L206" s="50" t="s">
        <v>61</v>
      </c>
      <c r="M206" s="403" t="str">
        <f t="shared" si="13"/>
        <v>-</v>
      </c>
      <c r="N206" s="215"/>
      <c r="O206" s="418" t="str">
        <f t="shared" si="12"/>
        <v>-</v>
      </c>
    </row>
    <row r="207" spans="1:15" ht="18.95" hidden="1" customHeight="1">
      <c r="A207" s="46"/>
      <c r="B207" s="4" t="s">
        <v>374</v>
      </c>
      <c r="C207" s="15" t="s">
        <v>407</v>
      </c>
      <c r="D207" s="15" t="s">
        <v>426</v>
      </c>
      <c r="F207" s="50"/>
      <c r="G207" s="276"/>
      <c r="H207" s="276"/>
      <c r="I207" s="277"/>
      <c r="J207" s="389">
        <f t="shared" si="14"/>
        <v>0</v>
      </c>
      <c r="K207" s="195">
        <v>0.99</v>
      </c>
      <c r="L207" s="50" t="s">
        <v>61</v>
      </c>
      <c r="M207" s="403" t="str">
        <f t="shared" si="13"/>
        <v>-</v>
      </c>
      <c r="N207" s="215"/>
      <c r="O207" s="418" t="str">
        <f t="shared" si="12"/>
        <v>-</v>
      </c>
    </row>
    <row r="208" spans="1:15" ht="18.95" hidden="1" customHeight="1">
      <c r="A208" s="46"/>
      <c r="B208" s="4" t="s">
        <v>676</v>
      </c>
      <c r="C208" s="15" t="s">
        <v>408</v>
      </c>
      <c r="D208" s="15" t="s">
        <v>427</v>
      </c>
      <c r="F208" s="50"/>
      <c r="G208" s="276"/>
      <c r="H208" s="276"/>
      <c r="I208" s="277"/>
      <c r="J208" s="389">
        <f t="shared" si="14"/>
        <v>0</v>
      </c>
      <c r="K208" s="195">
        <v>0.99</v>
      </c>
      <c r="L208" s="50" t="s">
        <v>61</v>
      </c>
      <c r="M208" s="403" t="str">
        <f t="shared" si="13"/>
        <v>-</v>
      </c>
      <c r="N208" s="215"/>
      <c r="O208" s="418" t="str">
        <f t="shared" si="12"/>
        <v>-</v>
      </c>
    </row>
    <row r="209" spans="1:15" ht="18.95" hidden="1" customHeight="1">
      <c r="A209" s="46"/>
      <c r="B209" s="4" t="s">
        <v>375</v>
      </c>
      <c r="C209" s="15" t="s">
        <v>409</v>
      </c>
      <c r="D209" s="15" t="s">
        <v>428</v>
      </c>
      <c r="F209" s="50"/>
      <c r="G209" s="276"/>
      <c r="H209" s="276"/>
      <c r="I209" s="277"/>
      <c r="J209" s="389">
        <f t="shared" si="14"/>
        <v>0</v>
      </c>
      <c r="K209" s="195">
        <v>0.99</v>
      </c>
      <c r="L209" s="50" t="s">
        <v>61</v>
      </c>
      <c r="M209" s="403" t="str">
        <f t="shared" si="13"/>
        <v>-</v>
      </c>
      <c r="N209" s="215"/>
      <c r="O209" s="418" t="str">
        <f t="shared" si="12"/>
        <v>-</v>
      </c>
    </row>
    <row r="210" spans="1:15">
      <c r="A210" s="46"/>
      <c r="B210" s="4" t="s">
        <v>671</v>
      </c>
      <c r="C210" s="15" t="s">
        <v>429</v>
      </c>
      <c r="D210" s="15" t="s">
        <v>460</v>
      </c>
      <c r="F210" s="50" t="s">
        <v>869</v>
      </c>
      <c r="G210" s="278">
        <v>500</v>
      </c>
      <c r="H210" s="278"/>
      <c r="I210" s="279">
        <v>91000</v>
      </c>
      <c r="J210" s="389">
        <f t="shared" si="14"/>
        <v>5.5691554467564259</v>
      </c>
      <c r="K210" s="195">
        <v>0.99</v>
      </c>
      <c r="L210" s="50" t="s">
        <v>61</v>
      </c>
      <c r="M210" s="403">
        <f t="shared" si="13"/>
        <v>183.83838383838383</v>
      </c>
      <c r="N210" s="215"/>
      <c r="O210" s="418">
        <f t="shared" si="12"/>
        <v>183.83838383838383</v>
      </c>
    </row>
    <row r="211" spans="1:15" hidden="1">
      <c r="A211" s="46"/>
      <c r="B211" s="4" t="s">
        <v>376</v>
      </c>
      <c r="C211" s="15" t="s">
        <v>430</v>
      </c>
      <c r="D211" s="15" t="s">
        <v>456</v>
      </c>
      <c r="F211" s="50"/>
      <c r="G211" s="276"/>
      <c r="H211" s="276"/>
      <c r="I211" s="277"/>
      <c r="J211" s="389">
        <f t="shared" si="14"/>
        <v>0</v>
      </c>
      <c r="K211" s="195">
        <v>0.99</v>
      </c>
      <c r="L211" s="50" t="s">
        <v>61</v>
      </c>
      <c r="M211" s="403" t="str">
        <f t="shared" si="13"/>
        <v>-</v>
      </c>
      <c r="N211" s="215"/>
      <c r="O211" s="418" t="str">
        <f t="shared" si="12"/>
        <v>-</v>
      </c>
    </row>
    <row r="212" spans="1:15" hidden="1">
      <c r="A212" s="46"/>
      <c r="B212" s="4" t="s">
        <v>377</v>
      </c>
      <c r="C212" s="15" t="s">
        <v>431</v>
      </c>
      <c r="D212" s="15" t="s">
        <v>457</v>
      </c>
      <c r="F212" s="50"/>
      <c r="G212" s="276"/>
      <c r="H212" s="276"/>
      <c r="I212" s="277"/>
      <c r="J212" s="389">
        <f t="shared" si="14"/>
        <v>0</v>
      </c>
      <c r="K212" s="195">
        <v>0.99</v>
      </c>
      <c r="L212" s="50" t="s">
        <v>61</v>
      </c>
      <c r="M212" s="403" t="str">
        <f t="shared" si="13"/>
        <v>-</v>
      </c>
      <c r="N212" s="215"/>
      <c r="O212" s="418" t="str">
        <f t="shared" si="12"/>
        <v>-</v>
      </c>
    </row>
    <row r="213" spans="1:15" hidden="1">
      <c r="A213" s="46"/>
      <c r="B213" s="4" t="s">
        <v>378</v>
      </c>
      <c r="C213" s="15" t="s">
        <v>432</v>
      </c>
      <c r="D213" s="15" t="s">
        <v>458</v>
      </c>
      <c r="F213" s="50"/>
      <c r="G213" s="276"/>
      <c r="H213" s="276"/>
      <c r="I213" s="277"/>
      <c r="J213" s="389">
        <f t="shared" si="14"/>
        <v>0</v>
      </c>
      <c r="K213" s="195">
        <v>0.99</v>
      </c>
      <c r="L213" s="50" t="s">
        <v>61</v>
      </c>
      <c r="M213" s="403" t="str">
        <f t="shared" si="13"/>
        <v>-</v>
      </c>
      <c r="N213" s="215"/>
      <c r="O213" s="418" t="str">
        <f t="shared" ref="O213:O299" si="15">IFERROR(M213*(1+N213),"-")</f>
        <v>-</v>
      </c>
    </row>
    <row r="214" spans="1:15" hidden="1">
      <c r="A214" s="46"/>
      <c r="B214" s="4" t="s">
        <v>717</v>
      </c>
      <c r="C214" s="15" t="s">
        <v>433</v>
      </c>
      <c r="D214" s="15" t="s">
        <v>459</v>
      </c>
      <c r="F214" s="50"/>
      <c r="G214" s="276"/>
      <c r="H214" s="276"/>
      <c r="I214" s="277"/>
      <c r="J214" s="389">
        <f t="shared" si="14"/>
        <v>0</v>
      </c>
      <c r="K214" s="195">
        <v>0.99</v>
      </c>
      <c r="L214" s="50" t="s">
        <v>61</v>
      </c>
      <c r="M214" s="403" t="str">
        <f t="shared" si="13"/>
        <v>-</v>
      </c>
      <c r="N214" s="215"/>
      <c r="O214" s="418" t="str">
        <f t="shared" si="15"/>
        <v>-</v>
      </c>
    </row>
    <row r="215" spans="1:15" hidden="1">
      <c r="A215" s="46"/>
      <c r="B215" s="4" t="s">
        <v>379</v>
      </c>
      <c r="C215" s="15" t="s">
        <v>434</v>
      </c>
      <c r="D215" s="15" t="s">
        <v>446</v>
      </c>
      <c r="F215" s="50"/>
      <c r="G215" s="276"/>
      <c r="H215" s="276"/>
      <c r="I215" s="277"/>
      <c r="J215" s="389">
        <f t="shared" si="14"/>
        <v>0</v>
      </c>
      <c r="K215" s="195">
        <v>0.99</v>
      </c>
      <c r="L215" s="50" t="s">
        <v>61</v>
      </c>
      <c r="M215" s="403" t="str">
        <f t="shared" si="13"/>
        <v>-</v>
      </c>
      <c r="N215" s="215"/>
      <c r="O215" s="418" t="str">
        <f t="shared" si="15"/>
        <v>-</v>
      </c>
    </row>
    <row r="216" spans="1:15">
      <c r="A216" s="46"/>
      <c r="B216" s="4" t="s">
        <v>380</v>
      </c>
      <c r="C216" s="15" t="s">
        <v>435</v>
      </c>
      <c r="D216" s="15" t="s">
        <v>447</v>
      </c>
      <c r="F216" s="50" t="s">
        <v>998</v>
      </c>
      <c r="G216" s="278">
        <v>1000</v>
      </c>
      <c r="H216" s="278"/>
      <c r="I216" s="279">
        <v>17500</v>
      </c>
      <c r="J216" s="389">
        <f t="shared" si="14"/>
        <v>1.0709914320685434</v>
      </c>
      <c r="K216" s="195">
        <v>0.99</v>
      </c>
      <c r="L216" s="50" t="s">
        <v>61</v>
      </c>
      <c r="M216" s="403">
        <v>17.5</v>
      </c>
      <c r="N216" s="215"/>
      <c r="O216" s="418">
        <f t="shared" si="15"/>
        <v>17.5</v>
      </c>
    </row>
    <row r="217" spans="1:15" hidden="1">
      <c r="A217" s="46"/>
      <c r="B217" s="4" t="s">
        <v>677</v>
      </c>
      <c r="C217" s="15" t="s">
        <v>436</v>
      </c>
      <c r="D217" s="15" t="s">
        <v>448</v>
      </c>
      <c r="F217" s="50"/>
      <c r="G217" s="276"/>
      <c r="H217" s="276"/>
      <c r="I217" s="277"/>
      <c r="J217" s="389">
        <f t="shared" si="14"/>
        <v>0</v>
      </c>
      <c r="K217" s="195">
        <v>0.99</v>
      </c>
      <c r="L217" s="50" t="s">
        <v>61</v>
      </c>
      <c r="M217" s="403" t="str">
        <f t="shared" si="13"/>
        <v>-</v>
      </c>
      <c r="N217" s="215"/>
      <c r="O217" s="418" t="str">
        <f t="shared" si="15"/>
        <v>-</v>
      </c>
    </row>
    <row r="218" spans="1:15" hidden="1">
      <c r="A218" s="46"/>
      <c r="B218" s="4" t="s">
        <v>381</v>
      </c>
      <c r="C218" s="15" t="s">
        <v>437</v>
      </c>
      <c r="D218" s="15" t="s">
        <v>449</v>
      </c>
      <c r="F218" s="50"/>
      <c r="G218" s="276"/>
      <c r="H218" s="276"/>
      <c r="I218" s="277"/>
      <c r="J218" s="389">
        <f t="shared" si="14"/>
        <v>0</v>
      </c>
      <c r="K218" s="195"/>
      <c r="L218" s="50" t="s">
        <v>61</v>
      </c>
      <c r="M218" s="403" t="str">
        <f t="shared" si="13"/>
        <v>-</v>
      </c>
      <c r="N218" s="215"/>
      <c r="O218" s="418" t="str">
        <f t="shared" si="15"/>
        <v>-</v>
      </c>
    </row>
    <row r="219" spans="1:15" hidden="1">
      <c r="A219" s="46"/>
      <c r="B219" s="4" t="s">
        <v>382</v>
      </c>
      <c r="C219" s="15" t="s">
        <v>438</v>
      </c>
      <c r="D219" s="15" t="s">
        <v>450</v>
      </c>
      <c r="F219" s="50"/>
      <c r="G219" s="276"/>
      <c r="H219" s="276"/>
      <c r="I219" s="277"/>
      <c r="J219" s="389">
        <f t="shared" si="14"/>
        <v>0</v>
      </c>
      <c r="K219" s="195">
        <v>0.99</v>
      </c>
      <c r="L219" s="50" t="s">
        <v>61</v>
      </c>
      <c r="M219" s="403" t="str">
        <f t="shared" si="13"/>
        <v>-</v>
      </c>
      <c r="N219" s="215"/>
      <c r="O219" s="418" t="str">
        <f t="shared" si="15"/>
        <v>-</v>
      </c>
    </row>
    <row r="220" spans="1:15">
      <c r="A220" s="46"/>
      <c r="B220" s="4" t="s">
        <v>682</v>
      </c>
      <c r="C220" s="15" t="s">
        <v>439</v>
      </c>
      <c r="D220" s="15" t="s">
        <v>451</v>
      </c>
      <c r="F220" s="50" t="s">
        <v>1152</v>
      </c>
      <c r="G220" s="278">
        <v>300</v>
      </c>
      <c r="H220" s="278"/>
      <c r="I220" s="279">
        <v>17500</v>
      </c>
      <c r="J220" s="389">
        <f t="shared" si="14"/>
        <v>1.0709914320685434</v>
      </c>
      <c r="K220" s="195">
        <v>0.99</v>
      </c>
      <c r="L220" s="50" t="s">
        <v>61</v>
      </c>
      <c r="M220" s="474">
        <v>53.46</v>
      </c>
      <c r="N220" s="215"/>
      <c r="O220" s="418">
        <f t="shared" si="15"/>
        <v>53.46</v>
      </c>
    </row>
    <row r="221" spans="1:15" hidden="1">
      <c r="A221" s="46"/>
      <c r="B221" s="4" t="s">
        <v>697</v>
      </c>
      <c r="C221" s="15" t="s">
        <v>440</v>
      </c>
      <c r="D221" s="15" t="s">
        <v>884</v>
      </c>
      <c r="F221" s="50"/>
      <c r="G221" s="276"/>
      <c r="H221" s="276"/>
      <c r="I221" s="277"/>
      <c r="J221" s="389">
        <f t="shared" si="14"/>
        <v>0</v>
      </c>
      <c r="K221" s="195">
        <v>0.99</v>
      </c>
      <c r="L221" s="50" t="s">
        <v>61</v>
      </c>
      <c r="M221" s="403" t="str">
        <f t="shared" si="13"/>
        <v>-</v>
      </c>
      <c r="N221" s="215"/>
      <c r="O221" s="418" t="str">
        <f t="shared" si="15"/>
        <v>-</v>
      </c>
    </row>
    <row r="222" spans="1:15" hidden="1">
      <c r="A222" s="46"/>
      <c r="B222" s="4" t="s">
        <v>769</v>
      </c>
      <c r="C222" s="15" t="s">
        <v>441</v>
      </c>
      <c r="D222" s="15" t="s">
        <v>452</v>
      </c>
      <c r="F222" s="50"/>
      <c r="G222" s="276"/>
      <c r="H222" s="276"/>
      <c r="I222" s="277"/>
      <c r="J222" s="389">
        <f t="shared" si="14"/>
        <v>0</v>
      </c>
      <c r="K222" s="195">
        <v>0.99</v>
      </c>
      <c r="L222" s="50" t="s">
        <v>61</v>
      </c>
      <c r="M222" s="403" t="str">
        <f t="shared" si="13"/>
        <v>-</v>
      </c>
      <c r="N222" s="215"/>
      <c r="O222" s="418" t="str">
        <f t="shared" si="15"/>
        <v>-</v>
      </c>
    </row>
    <row r="223" spans="1:15">
      <c r="A223" s="46"/>
      <c r="B223" s="4" t="s">
        <v>383</v>
      </c>
      <c r="C223" s="15" t="s">
        <v>442</v>
      </c>
      <c r="D223" s="434" t="s">
        <v>1163</v>
      </c>
      <c r="F223" s="50" t="s">
        <v>994</v>
      </c>
      <c r="G223" s="276">
        <v>1000</v>
      </c>
      <c r="H223" s="276"/>
      <c r="I223" s="279">
        <v>88800</v>
      </c>
      <c r="J223" s="389">
        <f t="shared" si="14"/>
        <v>5.434516523867809</v>
      </c>
      <c r="K223" s="195">
        <v>0.99</v>
      </c>
      <c r="L223" s="50" t="s">
        <v>61</v>
      </c>
      <c r="M223" s="403">
        <v>88.8</v>
      </c>
      <c r="N223" s="215"/>
      <c r="O223" s="418">
        <f t="shared" si="15"/>
        <v>88.8</v>
      </c>
    </row>
    <row r="224" spans="1:15">
      <c r="A224" s="46"/>
      <c r="B224" s="4" t="s">
        <v>384</v>
      </c>
      <c r="C224" s="15" t="s">
        <v>443</v>
      </c>
      <c r="D224" s="15" t="s">
        <v>453</v>
      </c>
      <c r="F224" s="50" t="s">
        <v>1151</v>
      </c>
      <c r="G224" s="278">
        <v>500</v>
      </c>
      <c r="H224" s="278"/>
      <c r="I224" s="279">
        <v>38000</v>
      </c>
      <c r="J224" s="389">
        <f t="shared" si="14"/>
        <v>2.3255813953488373</v>
      </c>
      <c r="K224" s="195">
        <v>0.99</v>
      </c>
      <c r="L224" s="50" t="s">
        <v>61</v>
      </c>
      <c r="M224" s="403">
        <f t="shared" si="13"/>
        <v>76.767676767676775</v>
      </c>
      <c r="N224" s="215"/>
      <c r="O224" s="418">
        <f t="shared" si="15"/>
        <v>76.767676767676775</v>
      </c>
    </row>
    <row r="225" spans="1:15" hidden="1">
      <c r="A225" s="46"/>
      <c r="B225" s="4" t="s">
        <v>385</v>
      </c>
      <c r="C225" s="15" t="s">
        <v>444</v>
      </c>
      <c r="D225" s="15" t="s">
        <v>454</v>
      </c>
      <c r="F225" s="50"/>
      <c r="G225" s="276"/>
      <c r="H225" s="276"/>
      <c r="I225" s="277"/>
      <c r="J225" s="389">
        <f t="shared" si="14"/>
        <v>0</v>
      </c>
      <c r="K225" s="195">
        <v>0.99</v>
      </c>
      <c r="L225" s="50" t="s">
        <v>61</v>
      </c>
      <c r="M225" s="403" t="str">
        <f t="shared" si="13"/>
        <v>-</v>
      </c>
      <c r="N225" s="215"/>
      <c r="O225" s="418" t="str">
        <f t="shared" si="15"/>
        <v>-</v>
      </c>
    </row>
    <row r="226" spans="1:15" hidden="1">
      <c r="A226" s="46"/>
      <c r="B226" s="4" t="s">
        <v>770</v>
      </c>
      <c r="C226" s="15" t="s">
        <v>445</v>
      </c>
      <c r="D226" s="15" t="s">
        <v>455</v>
      </c>
      <c r="F226" s="50"/>
      <c r="G226" s="276"/>
      <c r="H226" s="276"/>
      <c r="I226" s="277"/>
      <c r="J226" s="389">
        <f t="shared" si="14"/>
        <v>0</v>
      </c>
      <c r="K226" s="195">
        <v>0.99</v>
      </c>
      <c r="L226" s="50" t="s">
        <v>61</v>
      </c>
      <c r="M226" s="403" t="str">
        <f t="shared" si="13"/>
        <v>-</v>
      </c>
      <c r="N226" s="215"/>
      <c r="O226" s="418" t="str">
        <f t="shared" si="15"/>
        <v>-</v>
      </c>
    </row>
    <row r="227" spans="1:15" hidden="1">
      <c r="A227" s="46"/>
      <c r="B227" s="4" t="s">
        <v>386</v>
      </c>
      <c r="C227" s="15" t="s">
        <v>461</v>
      </c>
      <c r="D227" s="15" t="s">
        <v>467</v>
      </c>
      <c r="F227" s="50"/>
      <c r="G227" s="276"/>
      <c r="H227" s="276"/>
      <c r="I227" s="277"/>
      <c r="J227" s="389">
        <f t="shared" si="14"/>
        <v>0</v>
      </c>
      <c r="K227" s="195">
        <v>0.99</v>
      </c>
      <c r="L227" s="50" t="s">
        <v>659</v>
      </c>
      <c r="M227" s="403" t="str">
        <f t="shared" si="13"/>
        <v>-</v>
      </c>
      <c r="N227" s="215"/>
      <c r="O227" s="418" t="str">
        <f t="shared" si="15"/>
        <v>-</v>
      </c>
    </row>
    <row r="228" spans="1:15">
      <c r="A228" s="46"/>
      <c r="B228" s="4" t="s">
        <v>771</v>
      </c>
      <c r="C228" s="15" t="s">
        <v>462</v>
      </c>
      <c r="D228" s="15" t="s">
        <v>468</v>
      </c>
      <c r="F228" s="50" t="s">
        <v>1157</v>
      </c>
      <c r="G228" s="278">
        <v>3000</v>
      </c>
      <c r="H228" s="278"/>
      <c r="I228" s="279">
        <v>182000</v>
      </c>
      <c r="J228" s="389">
        <f t="shared" si="14"/>
        <v>11.138310893512852</v>
      </c>
      <c r="K228" s="195">
        <v>0.99</v>
      </c>
      <c r="L228" s="50" t="s">
        <v>61</v>
      </c>
      <c r="M228" s="403">
        <f t="shared" si="13"/>
        <v>61.27946127946128</v>
      </c>
      <c r="N228" s="215"/>
      <c r="O228" s="418">
        <f t="shared" si="15"/>
        <v>61.27946127946128</v>
      </c>
    </row>
    <row r="229" spans="1:15">
      <c r="A229" s="46"/>
      <c r="B229" s="4" t="s">
        <v>387</v>
      </c>
      <c r="C229" s="15" t="s">
        <v>463</v>
      </c>
      <c r="D229" s="15" t="s">
        <v>469</v>
      </c>
      <c r="F229" s="50" t="s">
        <v>1007</v>
      </c>
      <c r="G229" s="278">
        <v>473</v>
      </c>
      <c r="H229" s="278"/>
      <c r="I229" s="279">
        <v>35700</v>
      </c>
      <c r="J229" s="389">
        <f t="shared" si="14"/>
        <v>2.1848225214198287</v>
      </c>
      <c r="K229" s="195">
        <v>0.99</v>
      </c>
      <c r="L229" s="50" t="s">
        <v>61</v>
      </c>
      <c r="M229" s="403">
        <f t="shared" si="13"/>
        <v>76.238067781408162</v>
      </c>
      <c r="N229" s="215"/>
      <c r="O229" s="418">
        <f t="shared" si="15"/>
        <v>76.238067781408162</v>
      </c>
    </row>
    <row r="230" spans="1:15">
      <c r="A230" s="46"/>
      <c r="B230" s="4" t="s">
        <v>388</v>
      </c>
      <c r="C230" s="15" t="s">
        <v>464</v>
      </c>
      <c r="D230" s="15" t="s">
        <v>470</v>
      </c>
      <c r="F230" s="50" t="s">
        <v>1247</v>
      </c>
      <c r="G230" s="278">
        <v>1000</v>
      </c>
      <c r="H230" s="278"/>
      <c r="I230" s="279">
        <v>35700</v>
      </c>
      <c r="J230" s="389">
        <f t="shared" si="14"/>
        <v>2.1848225214198287</v>
      </c>
      <c r="K230" s="195">
        <v>0.99</v>
      </c>
      <c r="L230" s="50" t="s">
        <v>61</v>
      </c>
      <c r="M230" s="403">
        <f t="shared" si="13"/>
        <v>36.060606060606062</v>
      </c>
      <c r="N230" s="215"/>
      <c r="O230" s="418">
        <f t="shared" si="15"/>
        <v>36.060606060606062</v>
      </c>
    </row>
    <row r="231" spans="1:15" hidden="1">
      <c r="A231" s="46"/>
      <c r="B231" s="4" t="s">
        <v>772</v>
      </c>
      <c r="C231" s="15" t="s">
        <v>465</v>
      </c>
      <c r="D231" s="15" t="s">
        <v>471</v>
      </c>
      <c r="F231" s="50"/>
      <c r="G231" s="276"/>
      <c r="H231" s="276"/>
      <c r="I231" s="277"/>
      <c r="J231" s="389">
        <f t="shared" si="14"/>
        <v>0</v>
      </c>
      <c r="K231" s="195">
        <v>0.99</v>
      </c>
      <c r="L231" s="50" t="s">
        <v>61</v>
      </c>
      <c r="M231" s="403" t="str">
        <f t="shared" si="13"/>
        <v>-</v>
      </c>
      <c r="N231" s="215"/>
      <c r="O231" s="418" t="str">
        <f t="shared" si="15"/>
        <v>-</v>
      </c>
    </row>
    <row r="232" spans="1:15" hidden="1">
      <c r="A232" s="46"/>
      <c r="B232" s="4" t="s">
        <v>389</v>
      </c>
      <c r="C232" s="15" t="s">
        <v>466</v>
      </c>
      <c r="D232" s="15" t="s">
        <v>472</v>
      </c>
      <c r="F232" s="50"/>
      <c r="G232" s="276"/>
      <c r="H232" s="276"/>
      <c r="I232" s="277"/>
      <c r="J232" s="389">
        <f t="shared" si="14"/>
        <v>0</v>
      </c>
      <c r="K232" s="195">
        <v>0.99</v>
      </c>
      <c r="L232" s="50" t="s">
        <v>61</v>
      </c>
      <c r="M232" s="403" t="str">
        <f t="shared" si="13"/>
        <v>-</v>
      </c>
      <c r="N232" s="215"/>
      <c r="O232" s="418" t="str">
        <f t="shared" si="15"/>
        <v>-</v>
      </c>
    </row>
    <row r="233" spans="1:15" hidden="1">
      <c r="A233" s="46"/>
      <c r="B233" s="4" t="s">
        <v>390</v>
      </c>
      <c r="C233" s="15" t="s">
        <v>981</v>
      </c>
      <c r="D233" s="15" t="s">
        <v>982</v>
      </c>
      <c r="F233" s="50"/>
      <c r="G233" s="276"/>
      <c r="H233" s="276"/>
      <c r="I233" s="277"/>
      <c r="J233" s="389">
        <f t="shared" si="14"/>
        <v>0</v>
      </c>
      <c r="K233" s="195">
        <v>0.99</v>
      </c>
      <c r="L233" s="50" t="s">
        <v>61</v>
      </c>
      <c r="M233" s="403" t="str">
        <f t="shared" si="13"/>
        <v>-</v>
      </c>
      <c r="N233" s="215"/>
      <c r="O233" s="418" t="str">
        <f t="shared" si="15"/>
        <v>-</v>
      </c>
    </row>
    <row r="234" spans="1:15" hidden="1">
      <c r="A234" s="46"/>
      <c r="B234" s="4" t="s">
        <v>391</v>
      </c>
      <c r="C234" s="190" t="s">
        <v>643</v>
      </c>
      <c r="D234" s="190" t="s">
        <v>644</v>
      </c>
      <c r="E234" s="193"/>
      <c r="F234" s="50"/>
      <c r="G234" s="276"/>
      <c r="H234" s="276"/>
      <c r="I234" s="277"/>
      <c r="J234" s="389">
        <f t="shared" si="14"/>
        <v>0</v>
      </c>
      <c r="K234" s="195"/>
      <c r="L234" s="50" t="s">
        <v>61</v>
      </c>
      <c r="M234" s="403" t="str">
        <f t="shared" si="13"/>
        <v>-</v>
      </c>
      <c r="N234" s="215"/>
      <c r="O234" s="418" t="str">
        <f>IFERROR(M234*(1+N234),"-")</f>
        <v>-</v>
      </c>
    </row>
    <row r="235" spans="1:15" hidden="1">
      <c r="A235" s="46"/>
      <c r="B235" s="4" t="s">
        <v>773</v>
      </c>
      <c r="C235" s="190" t="s">
        <v>642</v>
      </c>
      <c r="D235" s="190" t="s">
        <v>645</v>
      </c>
      <c r="E235" s="193"/>
      <c r="F235" s="50"/>
      <c r="G235" s="278"/>
      <c r="H235" s="278"/>
      <c r="I235" s="280"/>
      <c r="J235" s="389">
        <f t="shared" si="14"/>
        <v>0</v>
      </c>
      <c r="K235" s="195"/>
      <c r="L235" s="50" t="s">
        <v>61</v>
      </c>
      <c r="M235" s="403" t="str">
        <f t="shared" si="13"/>
        <v>-</v>
      </c>
      <c r="N235" s="215"/>
      <c r="O235" s="418" t="str">
        <f>IFERROR(M235*(1+N235),"-")</f>
        <v>-</v>
      </c>
    </row>
    <row r="236" spans="1:15" hidden="1">
      <c r="A236" s="46"/>
      <c r="B236" s="4" t="s">
        <v>774</v>
      </c>
      <c r="C236" s="15" t="s">
        <v>686</v>
      </c>
      <c r="D236" s="15" t="s">
        <v>687</v>
      </c>
      <c r="F236" s="50"/>
      <c r="G236" s="278"/>
      <c r="H236" s="278"/>
      <c r="I236" s="280"/>
      <c r="J236" s="389">
        <f t="shared" si="14"/>
        <v>0</v>
      </c>
      <c r="K236" s="195">
        <v>0.99</v>
      </c>
      <c r="L236" s="50" t="s">
        <v>659</v>
      </c>
      <c r="M236" s="403" t="str">
        <f t="shared" si="13"/>
        <v>-</v>
      </c>
      <c r="N236" s="215"/>
      <c r="O236" s="418" t="str">
        <f t="shared" si="15"/>
        <v>-</v>
      </c>
    </row>
    <row r="237" spans="1:15" hidden="1">
      <c r="A237" s="46"/>
      <c r="B237" s="4" t="s">
        <v>775</v>
      </c>
      <c r="C237" s="15" t="s">
        <v>692</v>
      </c>
      <c r="D237" s="15" t="s">
        <v>693</v>
      </c>
      <c r="F237" s="50"/>
      <c r="G237" s="278"/>
      <c r="H237" s="278"/>
      <c r="I237" s="280"/>
      <c r="J237" s="389">
        <f t="shared" si="14"/>
        <v>0</v>
      </c>
      <c r="K237" s="195">
        <v>0.99</v>
      </c>
      <c r="L237" s="50" t="s">
        <v>659</v>
      </c>
      <c r="M237" s="403" t="str">
        <f t="shared" si="13"/>
        <v>-</v>
      </c>
      <c r="N237" s="215"/>
      <c r="O237" s="418" t="str">
        <f t="shared" si="15"/>
        <v>-</v>
      </c>
    </row>
    <row r="238" spans="1:15">
      <c r="A238" s="46"/>
      <c r="B238" s="4" t="s">
        <v>776</v>
      </c>
      <c r="C238" s="15" t="s">
        <v>907</v>
      </c>
      <c r="D238" s="15" t="s">
        <v>696</v>
      </c>
      <c r="F238" s="50" t="s">
        <v>1153</v>
      </c>
      <c r="G238" s="278">
        <v>200</v>
      </c>
      <c r="H238" s="278"/>
      <c r="I238" s="279">
        <v>11000</v>
      </c>
      <c r="J238" s="389">
        <f t="shared" si="14"/>
        <v>0.67319461444308448</v>
      </c>
      <c r="K238" s="195">
        <v>0.99</v>
      </c>
      <c r="L238" s="50" t="s">
        <v>659</v>
      </c>
      <c r="M238" s="403">
        <f t="shared" si="13"/>
        <v>55.555555555555557</v>
      </c>
      <c r="N238" s="215"/>
      <c r="O238" s="418">
        <f t="shared" si="15"/>
        <v>55.555555555555557</v>
      </c>
    </row>
    <row r="239" spans="1:15" hidden="1">
      <c r="A239" s="46"/>
      <c r="B239" s="4" t="s">
        <v>695</v>
      </c>
      <c r="C239" s="15" t="s">
        <v>701</v>
      </c>
      <c r="D239" s="15" t="s">
        <v>702</v>
      </c>
      <c r="F239" s="50"/>
      <c r="G239" s="278"/>
      <c r="H239" s="278"/>
      <c r="I239" s="280"/>
      <c r="J239" s="389">
        <f t="shared" si="14"/>
        <v>0</v>
      </c>
      <c r="K239" s="195">
        <v>0.99</v>
      </c>
      <c r="L239" s="50" t="s">
        <v>659</v>
      </c>
      <c r="M239" s="403" t="str">
        <f t="shared" si="13"/>
        <v>-</v>
      </c>
      <c r="N239" s="215"/>
      <c r="O239" s="418" t="str">
        <f t="shared" si="15"/>
        <v>-</v>
      </c>
    </row>
    <row r="240" spans="1:15" hidden="1">
      <c r="A240" s="46"/>
      <c r="B240" s="4" t="s">
        <v>777</v>
      </c>
      <c r="C240" s="15" t="s">
        <v>703</v>
      </c>
      <c r="D240" s="15" t="s">
        <v>704</v>
      </c>
      <c r="F240" s="50"/>
      <c r="G240" s="278"/>
      <c r="H240" s="278"/>
      <c r="I240" s="280"/>
      <c r="J240" s="389">
        <f t="shared" si="14"/>
        <v>0</v>
      </c>
      <c r="K240" s="195">
        <v>0.99</v>
      </c>
      <c r="L240" s="50" t="s">
        <v>659</v>
      </c>
      <c r="M240" s="403" t="str">
        <f t="shared" si="13"/>
        <v>-</v>
      </c>
      <c r="N240" s="215"/>
      <c r="O240" s="418" t="str">
        <f t="shared" si="15"/>
        <v>-</v>
      </c>
    </row>
    <row r="241" spans="1:15" hidden="1">
      <c r="A241" s="46"/>
      <c r="B241" s="4" t="s">
        <v>778</v>
      </c>
      <c r="C241" s="15" t="s">
        <v>975</v>
      </c>
      <c r="D241" s="15" t="s">
        <v>976</v>
      </c>
      <c r="F241" s="50"/>
      <c r="G241" s="278"/>
      <c r="H241" s="278"/>
      <c r="I241" s="280"/>
      <c r="J241" s="389">
        <f t="shared" si="14"/>
        <v>0</v>
      </c>
      <c r="K241" s="195">
        <v>0.99</v>
      </c>
      <c r="L241" s="50" t="s">
        <v>61</v>
      </c>
      <c r="M241" s="403" t="str">
        <f t="shared" si="13"/>
        <v>-</v>
      </c>
      <c r="N241" s="215"/>
      <c r="O241" s="418" t="str">
        <f t="shared" si="15"/>
        <v>-</v>
      </c>
    </row>
    <row r="242" spans="1:15" hidden="1">
      <c r="A242" s="46"/>
      <c r="B242" s="4" t="s">
        <v>713</v>
      </c>
      <c r="C242" s="15" t="s">
        <v>905</v>
      </c>
      <c r="D242" s="15" t="s">
        <v>906</v>
      </c>
      <c r="F242" s="50"/>
      <c r="G242" s="278"/>
      <c r="H242" s="278"/>
      <c r="I242" s="280"/>
      <c r="J242" s="389">
        <f t="shared" si="14"/>
        <v>0</v>
      </c>
      <c r="K242" s="195">
        <v>0.99</v>
      </c>
      <c r="L242" s="50" t="s">
        <v>659</v>
      </c>
      <c r="M242" s="403" t="str">
        <f t="shared" si="13"/>
        <v>-</v>
      </c>
      <c r="N242" s="215"/>
      <c r="O242" s="418" t="str">
        <f t="shared" si="15"/>
        <v>-</v>
      </c>
    </row>
    <row r="243" spans="1:15">
      <c r="A243" s="46"/>
      <c r="B243" s="4" t="s">
        <v>779</v>
      </c>
      <c r="C243" s="15" t="s">
        <v>731</v>
      </c>
      <c r="D243" s="15" t="s">
        <v>732</v>
      </c>
      <c r="E243" s="194"/>
      <c r="F243" s="50" t="s">
        <v>869</v>
      </c>
      <c r="G243" s="278">
        <v>500</v>
      </c>
      <c r="H243" s="278"/>
      <c r="I243" s="279">
        <v>40000</v>
      </c>
      <c r="J243" s="389">
        <f t="shared" si="14"/>
        <v>2.4479804161566707</v>
      </c>
      <c r="K243" s="195">
        <v>2.5</v>
      </c>
      <c r="L243" s="50" t="s">
        <v>61</v>
      </c>
      <c r="M243" s="403">
        <f t="shared" si="13"/>
        <v>32</v>
      </c>
      <c r="N243" s="215"/>
      <c r="O243" s="418">
        <f t="shared" si="15"/>
        <v>32</v>
      </c>
    </row>
    <row r="244" spans="1:15" hidden="1">
      <c r="A244" s="46"/>
      <c r="B244" s="4" t="s">
        <v>780</v>
      </c>
      <c r="C244" s="65" t="s">
        <v>794</v>
      </c>
      <c r="D244" s="65" t="s">
        <v>795</v>
      </c>
      <c r="E244" s="194"/>
      <c r="F244" s="50"/>
      <c r="G244" s="278"/>
      <c r="H244" s="278"/>
      <c r="I244" s="280"/>
      <c r="J244" s="389">
        <f t="shared" si="14"/>
        <v>0</v>
      </c>
      <c r="K244" s="195">
        <v>0.99</v>
      </c>
      <c r="L244" s="50" t="s">
        <v>659</v>
      </c>
      <c r="M244" s="403" t="str">
        <f t="shared" si="13"/>
        <v>-</v>
      </c>
      <c r="N244" s="215"/>
      <c r="O244" s="418" t="str">
        <f t="shared" si="15"/>
        <v>-</v>
      </c>
    </row>
    <row r="245" spans="1:15" hidden="1">
      <c r="A245" s="46"/>
      <c r="B245" s="4" t="s">
        <v>781</v>
      </c>
      <c r="C245" s="65" t="s">
        <v>821</v>
      </c>
      <c r="D245" s="65" t="s">
        <v>822</v>
      </c>
      <c r="E245" s="194"/>
      <c r="F245" s="50"/>
      <c r="G245" s="278"/>
      <c r="H245" s="278"/>
      <c r="I245" s="280"/>
      <c r="J245" s="389">
        <f t="shared" si="14"/>
        <v>0</v>
      </c>
      <c r="K245" s="195">
        <v>0.99</v>
      </c>
      <c r="L245" s="50" t="s">
        <v>61</v>
      </c>
      <c r="M245" s="403" t="str">
        <f t="shared" si="13"/>
        <v>-</v>
      </c>
      <c r="N245" s="215"/>
      <c r="O245" s="418" t="str">
        <f t="shared" si="15"/>
        <v>-</v>
      </c>
    </row>
    <row r="246" spans="1:15" hidden="1">
      <c r="A246" s="46"/>
      <c r="B246" s="4" t="s">
        <v>897</v>
      </c>
      <c r="C246" s="65" t="s">
        <v>834</v>
      </c>
      <c r="D246" s="65" t="s">
        <v>835</v>
      </c>
      <c r="E246" s="194"/>
      <c r="F246" s="50"/>
      <c r="G246" s="278"/>
      <c r="H246" s="278"/>
      <c r="I246" s="280"/>
      <c r="J246" s="389">
        <f t="shared" si="14"/>
        <v>0</v>
      </c>
      <c r="K246" s="195">
        <v>0.99</v>
      </c>
      <c r="L246" s="50" t="s">
        <v>61</v>
      </c>
      <c r="M246" s="403" t="str">
        <f t="shared" si="13"/>
        <v>-</v>
      </c>
      <c r="N246" s="215"/>
      <c r="O246" s="418" t="str">
        <f t="shared" si="15"/>
        <v>-</v>
      </c>
    </row>
    <row r="247" spans="1:15" hidden="1">
      <c r="A247" s="46"/>
      <c r="B247" s="177" t="s">
        <v>881</v>
      </c>
      <c r="C247" s="15" t="s">
        <v>882</v>
      </c>
      <c r="D247" s="15" t="s">
        <v>883</v>
      </c>
      <c r="E247" s="194"/>
      <c r="F247" s="50"/>
      <c r="G247" s="278"/>
      <c r="H247" s="278"/>
      <c r="I247" s="280"/>
      <c r="J247" s="389">
        <f t="shared" si="14"/>
        <v>0</v>
      </c>
      <c r="K247" s="195">
        <v>0.99</v>
      </c>
      <c r="L247" s="50" t="s">
        <v>61</v>
      </c>
      <c r="M247" s="403" t="str">
        <f t="shared" si="13"/>
        <v>-</v>
      </c>
      <c r="N247" s="215"/>
      <c r="O247" s="418" t="str">
        <f t="shared" si="15"/>
        <v>-</v>
      </c>
    </row>
    <row r="248" spans="1:15" hidden="1">
      <c r="A248" s="46"/>
      <c r="B248" s="177" t="s">
        <v>898</v>
      </c>
      <c r="C248" s="15" t="s">
        <v>899</v>
      </c>
      <c r="D248" s="15" t="s">
        <v>900</v>
      </c>
      <c r="E248" s="194"/>
      <c r="F248" s="50"/>
      <c r="G248" s="278"/>
      <c r="H248" s="278"/>
      <c r="I248" s="280"/>
      <c r="J248" s="389">
        <f t="shared" si="14"/>
        <v>0</v>
      </c>
      <c r="K248" s="195">
        <v>0.99</v>
      </c>
      <c r="L248" s="50" t="s">
        <v>61</v>
      </c>
      <c r="M248" s="403" t="str">
        <f t="shared" si="13"/>
        <v>-</v>
      </c>
      <c r="N248" s="215"/>
      <c r="O248" s="418" t="str">
        <f t="shared" si="15"/>
        <v>-</v>
      </c>
    </row>
    <row r="249" spans="1:15" hidden="1">
      <c r="A249" s="46"/>
      <c r="B249" s="177" t="s">
        <v>901</v>
      </c>
      <c r="C249" s="15" t="s">
        <v>903</v>
      </c>
      <c r="D249" s="15" t="s">
        <v>904</v>
      </c>
      <c r="E249" s="194"/>
      <c r="F249" s="50"/>
      <c r="G249" s="278"/>
      <c r="H249" s="278"/>
      <c r="I249" s="280"/>
      <c r="J249" s="389">
        <f t="shared" si="14"/>
        <v>0</v>
      </c>
      <c r="K249" s="195">
        <v>0.99</v>
      </c>
      <c r="L249" s="50" t="s">
        <v>61</v>
      </c>
      <c r="M249" s="403" t="str">
        <f t="shared" si="13"/>
        <v>-</v>
      </c>
      <c r="N249" s="215"/>
      <c r="O249" s="418" t="str">
        <f t="shared" si="15"/>
        <v>-</v>
      </c>
    </row>
    <row r="250" spans="1:15" hidden="1">
      <c r="B250" s="177" t="s">
        <v>902</v>
      </c>
      <c r="C250" s="15" t="s">
        <v>735</v>
      </c>
      <c r="D250" s="15" t="s">
        <v>734</v>
      </c>
      <c r="F250" s="50"/>
      <c r="G250" s="278"/>
      <c r="H250" s="278"/>
      <c r="I250" s="280"/>
      <c r="J250" s="389">
        <f t="shared" si="14"/>
        <v>0</v>
      </c>
      <c r="K250" s="195">
        <v>0.99</v>
      </c>
      <c r="L250" s="50" t="s">
        <v>659</v>
      </c>
      <c r="M250" s="403" t="str">
        <f t="shared" si="13"/>
        <v>-</v>
      </c>
      <c r="N250" s="215"/>
      <c r="O250" s="418" t="str">
        <f t="shared" si="15"/>
        <v>-</v>
      </c>
    </row>
    <row r="251" spans="1:15" hidden="1">
      <c r="B251" s="177" t="s">
        <v>959</v>
      </c>
      <c r="C251" s="15" t="s">
        <v>960</v>
      </c>
      <c r="D251" s="15" t="s">
        <v>961</v>
      </c>
      <c r="F251" s="50"/>
      <c r="G251" s="278"/>
      <c r="H251" s="278"/>
      <c r="I251" s="280"/>
      <c r="J251" s="389">
        <f t="shared" si="14"/>
        <v>0</v>
      </c>
      <c r="K251" s="195">
        <v>0.99</v>
      </c>
      <c r="L251" s="50" t="s">
        <v>61</v>
      </c>
      <c r="M251" s="403" t="str">
        <f t="shared" si="13"/>
        <v>-</v>
      </c>
      <c r="N251" s="215"/>
      <c r="O251" s="418" t="str">
        <f t="shared" si="15"/>
        <v>-</v>
      </c>
    </row>
    <row r="252" spans="1:15" hidden="1">
      <c r="A252" s="46"/>
      <c r="B252" s="4" t="s">
        <v>963</v>
      </c>
      <c r="C252" s="15" t="s">
        <v>962</v>
      </c>
      <c r="D252" s="15" t="s">
        <v>964</v>
      </c>
      <c r="F252" s="50"/>
      <c r="G252" s="278"/>
      <c r="H252" s="278"/>
      <c r="I252" s="280"/>
      <c r="J252" s="389">
        <f t="shared" si="14"/>
        <v>0</v>
      </c>
      <c r="K252" s="195">
        <v>0.99</v>
      </c>
      <c r="L252" s="50" t="s">
        <v>61</v>
      </c>
      <c r="M252" s="403" t="str">
        <f t="shared" si="13"/>
        <v>-</v>
      </c>
      <c r="N252" s="215"/>
      <c r="O252" s="418" t="str">
        <f t="shared" si="15"/>
        <v>-</v>
      </c>
    </row>
    <row r="253" spans="1:15">
      <c r="A253" s="46"/>
      <c r="B253" s="4" t="s">
        <v>1004</v>
      </c>
      <c r="C253" s="15" t="s">
        <v>1005</v>
      </c>
      <c r="D253" s="15" t="s">
        <v>1006</v>
      </c>
      <c r="F253" s="50" t="s">
        <v>869</v>
      </c>
      <c r="G253" s="278">
        <v>500</v>
      </c>
      <c r="H253" s="278"/>
      <c r="I253" s="279">
        <v>70000</v>
      </c>
      <c r="J253" s="389">
        <f t="shared" si="14"/>
        <v>4.2839657282741737</v>
      </c>
      <c r="K253" s="195">
        <v>0.99</v>
      </c>
      <c r="L253" s="50" t="s">
        <v>61</v>
      </c>
      <c r="M253" s="403">
        <f t="shared" si="13"/>
        <v>141.41414141414143</v>
      </c>
      <c r="N253" s="215"/>
      <c r="O253" s="418">
        <f t="shared" si="15"/>
        <v>141.41414141414143</v>
      </c>
    </row>
    <row r="254" spans="1:15">
      <c r="A254" s="46"/>
      <c r="B254" s="4" t="s">
        <v>1021</v>
      </c>
      <c r="C254" s="15" t="s">
        <v>1008</v>
      </c>
      <c r="D254" s="15" t="s">
        <v>1009</v>
      </c>
      <c r="E254" s="275"/>
      <c r="F254" s="50" t="s">
        <v>998</v>
      </c>
      <c r="G254" s="278">
        <v>1000</v>
      </c>
      <c r="H254" s="278"/>
      <c r="I254" s="279">
        <f>115000*1.11</f>
        <v>127650.00000000001</v>
      </c>
      <c r="J254" s="389">
        <f t="shared" si="14"/>
        <v>7.8121175030599765</v>
      </c>
      <c r="K254" s="195">
        <v>0.99</v>
      </c>
      <c r="L254" s="50" t="s">
        <v>61</v>
      </c>
      <c r="M254" s="403">
        <f t="shared" si="13"/>
        <v>128.93939393939397</v>
      </c>
      <c r="N254" s="215"/>
      <c r="O254" s="418">
        <f t="shared" si="15"/>
        <v>128.93939393939397</v>
      </c>
    </row>
    <row r="255" spans="1:15">
      <c r="A255" s="46"/>
      <c r="B255" s="4" t="s">
        <v>1022</v>
      </c>
      <c r="C255" s="15" t="s">
        <v>1010</v>
      </c>
      <c r="D255" s="15" t="s">
        <v>1011</v>
      </c>
      <c r="E255" s="275"/>
      <c r="F255" s="50" t="s">
        <v>1012</v>
      </c>
      <c r="G255" s="278">
        <v>1000</v>
      </c>
      <c r="H255" s="278"/>
      <c r="I255" s="279">
        <v>127650</v>
      </c>
      <c r="J255" s="389">
        <f t="shared" si="14"/>
        <v>7.8121175030599757</v>
      </c>
      <c r="K255" s="195">
        <v>0.99</v>
      </c>
      <c r="L255" s="50" t="s">
        <v>61</v>
      </c>
      <c r="M255" s="403">
        <f t="shared" ref="M255:M264" si="16">IFERROR(I255/G255/K255,"-")</f>
        <v>128.93939393939394</v>
      </c>
      <c r="N255" s="215"/>
      <c r="O255" s="418">
        <f t="shared" si="15"/>
        <v>128.93939393939394</v>
      </c>
    </row>
    <row r="256" spans="1:15">
      <c r="A256" s="46"/>
      <c r="B256" s="4" t="s">
        <v>1023</v>
      </c>
      <c r="C256" s="15" t="s">
        <v>1013</v>
      </c>
      <c r="D256" s="15" t="s">
        <v>1014</v>
      </c>
      <c r="E256" s="275"/>
      <c r="F256" s="50" t="s">
        <v>1196</v>
      </c>
      <c r="G256" s="278">
        <v>750</v>
      </c>
      <c r="H256" s="278"/>
      <c r="I256" s="279">
        <v>77700</v>
      </c>
      <c r="J256" s="389">
        <f t="shared" si="14"/>
        <v>4.7552019583843332</v>
      </c>
      <c r="K256" s="195">
        <v>0.99</v>
      </c>
      <c r="L256" s="50" t="s">
        <v>61</v>
      </c>
      <c r="M256" s="403">
        <f t="shared" si="16"/>
        <v>104.64646464646464</v>
      </c>
      <c r="N256" s="215"/>
      <c r="O256" s="418">
        <f t="shared" si="15"/>
        <v>104.64646464646464</v>
      </c>
    </row>
    <row r="257" spans="1:16">
      <c r="A257" s="46"/>
      <c r="B257" s="4" t="s">
        <v>1024</v>
      </c>
      <c r="C257" s="15" t="s">
        <v>1015</v>
      </c>
      <c r="D257" s="15" t="s">
        <v>1016</v>
      </c>
      <c r="E257" s="275"/>
      <c r="F257" s="50" t="s">
        <v>998</v>
      </c>
      <c r="G257" s="278">
        <v>1000</v>
      </c>
      <c r="H257" s="278"/>
      <c r="I257" s="279">
        <v>76000</v>
      </c>
      <c r="J257" s="389">
        <f t="shared" si="14"/>
        <v>4.6511627906976747</v>
      </c>
      <c r="K257" s="195">
        <v>0.99</v>
      </c>
      <c r="L257" s="50" t="s">
        <v>61</v>
      </c>
      <c r="M257" s="403">
        <f t="shared" si="16"/>
        <v>76.767676767676775</v>
      </c>
      <c r="N257" s="215"/>
      <c r="O257" s="418">
        <f t="shared" si="15"/>
        <v>76.767676767676775</v>
      </c>
    </row>
    <row r="258" spans="1:16">
      <c r="A258" s="46"/>
      <c r="B258" s="4" t="s">
        <v>1025</v>
      </c>
      <c r="C258" s="15" t="s">
        <v>1017</v>
      </c>
      <c r="D258" s="15" t="s">
        <v>1018</v>
      </c>
      <c r="E258" s="275"/>
      <c r="F258" s="50" t="s">
        <v>869</v>
      </c>
      <c r="G258" s="278">
        <v>500</v>
      </c>
      <c r="H258" s="278"/>
      <c r="I258" s="279">
        <v>68706</v>
      </c>
      <c r="J258" s="389">
        <f t="shared" ref="J258:J274" si="17">I258/$J$3</f>
        <v>4.2047735618115052</v>
      </c>
      <c r="K258" s="195">
        <v>0.99</v>
      </c>
      <c r="L258" s="50" t="s">
        <v>61</v>
      </c>
      <c r="M258" s="403">
        <f t="shared" si="16"/>
        <v>138.80000000000001</v>
      </c>
      <c r="N258" s="215"/>
      <c r="O258" s="418">
        <f t="shared" si="15"/>
        <v>138.80000000000001</v>
      </c>
    </row>
    <row r="259" spans="1:16">
      <c r="A259" s="46"/>
      <c r="B259" s="4" t="s">
        <v>1109</v>
      </c>
      <c r="C259" s="15" t="s">
        <v>1019</v>
      </c>
      <c r="D259" s="15" t="s">
        <v>1020</v>
      </c>
      <c r="E259" s="275"/>
      <c r="F259" s="50" t="s">
        <v>1158</v>
      </c>
      <c r="G259" s="278">
        <v>800</v>
      </c>
      <c r="H259" s="278"/>
      <c r="I259" s="279">
        <v>58900</v>
      </c>
      <c r="J259" s="389">
        <f t="shared" si="17"/>
        <v>3.6046511627906979</v>
      </c>
      <c r="K259" s="195">
        <v>0.99</v>
      </c>
      <c r="L259" s="50" t="s">
        <v>61</v>
      </c>
      <c r="M259" s="403">
        <f t="shared" si="16"/>
        <v>74.368686868686865</v>
      </c>
      <c r="N259" s="215"/>
      <c r="O259" s="418">
        <f t="shared" si="15"/>
        <v>74.368686868686865</v>
      </c>
    </row>
    <row r="260" spans="1:16">
      <c r="A260" s="46"/>
      <c r="B260" s="4" t="s">
        <v>1028</v>
      </c>
      <c r="C260" s="15" t="s">
        <v>1026</v>
      </c>
      <c r="D260" s="15" t="s">
        <v>1027</v>
      </c>
      <c r="E260" s="275"/>
      <c r="F260" s="50" t="s">
        <v>1159</v>
      </c>
      <c r="G260" s="278">
        <v>545</v>
      </c>
      <c r="H260" s="278"/>
      <c r="I260" s="279">
        <v>21500</v>
      </c>
      <c r="J260" s="389">
        <f t="shared" si="17"/>
        <v>1.3157894736842106</v>
      </c>
      <c r="K260" s="195">
        <v>0.99</v>
      </c>
      <c r="L260" s="50" t="s">
        <v>61</v>
      </c>
      <c r="M260" s="403">
        <f t="shared" si="16"/>
        <v>39.848021499397646</v>
      </c>
      <c r="N260" s="215"/>
      <c r="O260" s="418">
        <f t="shared" si="15"/>
        <v>39.848021499397646</v>
      </c>
    </row>
    <row r="261" spans="1:16" ht="14.65" hidden="1" thickTop="1">
      <c r="A261" s="46"/>
      <c r="B261" s="4" t="s">
        <v>1287</v>
      </c>
      <c r="C261" s="15" t="s">
        <v>1288</v>
      </c>
      <c r="D261" s="15" t="s">
        <v>1289</v>
      </c>
      <c r="E261" s="275"/>
      <c r="F261" s="326"/>
      <c r="G261" s="327"/>
      <c r="H261" s="278"/>
      <c r="I261" s="277"/>
      <c r="J261" s="389">
        <f t="shared" si="17"/>
        <v>0</v>
      </c>
      <c r="K261" s="195"/>
      <c r="L261" s="50" t="s">
        <v>61</v>
      </c>
      <c r="M261" s="403" t="str">
        <f>IFERROR(I261/G261/K261,"-")</f>
        <v>-</v>
      </c>
      <c r="N261" s="215"/>
      <c r="O261" s="418" t="str">
        <f t="shared" si="15"/>
        <v>-</v>
      </c>
    </row>
    <row r="262" spans="1:16">
      <c r="A262" s="46"/>
      <c r="B262" s="177" t="s">
        <v>1029</v>
      </c>
      <c r="C262" s="15" t="s">
        <v>1165</v>
      </c>
      <c r="D262" s="434" t="s">
        <v>1164</v>
      </c>
      <c r="E262" s="275"/>
      <c r="F262" s="50" t="s">
        <v>1146</v>
      </c>
      <c r="G262" s="278">
        <v>60</v>
      </c>
      <c r="H262" s="278"/>
      <c r="I262" s="279">
        <v>24900</v>
      </c>
      <c r="J262" s="389">
        <f t="shared" si="17"/>
        <v>1.5238678090575275</v>
      </c>
      <c r="K262" s="195">
        <v>0.99</v>
      </c>
      <c r="L262" s="50" t="s">
        <v>61</v>
      </c>
      <c r="M262" s="474">
        <v>24.9</v>
      </c>
      <c r="N262" s="215"/>
      <c r="O262" s="418">
        <f t="shared" si="15"/>
        <v>24.9</v>
      </c>
    </row>
    <row r="263" spans="1:16">
      <c r="B263" s="436" t="s">
        <v>660</v>
      </c>
      <c r="C263" s="190" t="s">
        <v>1285</v>
      </c>
      <c r="D263" s="190" t="s">
        <v>1284</v>
      </c>
      <c r="E263" s="275"/>
      <c r="F263" s="456" t="s">
        <v>1125</v>
      </c>
      <c r="G263" s="457">
        <v>10000</v>
      </c>
      <c r="H263" s="457"/>
      <c r="I263" s="458">
        <v>700000</v>
      </c>
      <c r="J263" s="391">
        <f t="shared" si="17"/>
        <v>42.83965728274174</v>
      </c>
      <c r="K263" s="311">
        <v>0.99</v>
      </c>
      <c r="L263" s="308" t="s">
        <v>61</v>
      </c>
      <c r="M263" s="474">
        <v>7.07</v>
      </c>
      <c r="N263" s="312"/>
      <c r="O263" s="315">
        <f t="shared" si="15"/>
        <v>7.07</v>
      </c>
      <c r="P263" t="s">
        <v>1245</v>
      </c>
    </row>
    <row r="264" spans="1:16">
      <c r="B264" s="436" t="s">
        <v>1282</v>
      </c>
      <c r="C264" s="190" t="s">
        <v>1280</v>
      </c>
      <c r="D264" s="190" t="s">
        <v>1280</v>
      </c>
      <c r="E264" s="275"/>
      <c r="F264" s="456" t="s">
        <v>1281</v>
      </c>
      <c r="G264" s="457">
        <v>8000</v>
      </c>
      <c r="H264" s="457"/>
      <c r="I264" s="458">
        <v>254850</v>
      </c>
      <c r="J264" s="391">
        <f t="shared" si="17"/>
        <v>15.596695226438188</v>
      </c>
      <c r="K264" s="311">
        <v>0.99</v>
      </c>
      <c r="L264" s="308" t="s">
        <v>61</v>
      </c>
      <c r="M264" s="315">
        <f t="shared" si="16"/>
        <v>32.178030303030305</v>
      </c>
      <c r="N264" s="312"/>
      <c r="O264" s="315">
        <f t="shared" si="15"/>
        <v>32.178030303030305</v>
      </c>
    </row>
    <row r="265" spans="1:16">
      <c r="A265" s="46"/>
      <c r="B265" s="436" t="s">
        <v>1188</v>
      </c>
      <c r="C265" s="15" t="s">
        <v>1194</v>
      </c>
      <c r="D265" s="15" t="s">
        <v>1195</v>
      </c>
      <c r="E265" s="275"/>
      <c r="F265" s="308" t="s">
        <v>1196</v>
      </c>
      <c r="G265" s="309">
        <v>750</v>
      </c>
      <c r="H265" s="309"/>
      <c r="I265" s="310">
        <v>77700</v>
      </c>
      <c r="J265" s="391">
        <f t="shared" si="17"/>
        <v>4.7552019583843332</v>
      </c>
      <c r="K265" s="311">
        <v>0.99</v>
      </c>
      <c r="L265" s="308" t="s">
        <v>61</v>
      </c>
      <c r="M265" s="474">
        <v>103.6</v>
      </c>
      <c r="N265" s="312"/>
      <c r="O265" s="315">
        <f t="shared" si="15"/>
        <v>103.6</v>
      </c>
    </row>
    <row r="266" spans="1:16">
      <c r="A266" s="46"/>
      <c r="B266" s="436" t="s">
        <v>1189</v>
      </c>
      <c r="C266" s="15" t="s">
        <v>1197</v>
      </c>
      <c r="D266" s="15" t="s">
        <v>1198</v>
      </c>
      <c r="E266" s="275"/>
      <c r="F266" s="308" t="s">
        <v>1125</v>
      </c>
      <c r="G266" s="309">
        <v>10000</v>
      </c>
      <c r="H266" s="309"/>
      <c r="I266" s="310">
        <v>16650</v>
      </c>
      <c r="J266" s="391">
        <f t="shared" si="17"/>
        <v>1.0189718482252141</v>
      </c>
      <c r="K266" s="311">
        <v>0.99</v>
      </c>
      <c r="L266" s="308" t="s">
        <v>61</v>
      </c>
      <c r="M266" s="474">
        <v>2.85</v>
      </c>
      <c r="N266" s="312"/>
      <c r="O266" s="315">
        <f t="shared" si="15"/>
        <v>2.85</v>
      </c>
    </row>
    <row r="267" spans="1:16" hidden="1">
      <c r="A267" s="46"/>
      <c r="B267" s="436" t="s">
        <v>747</v>
      </c>
      <c r="C267" s="15" t="s">
        <v>1199</v>
      </c>
      <c r="D267" s="15" t="s">
        <v>1202</v>
      </c>
      <c r="E267" s="275"/>
      <c r="F267" s="308" t="s">
        <v>1210</v>
      </c>
      <c r="G267" s="309">
        <v>350</v>
      </c>
      <c r="H267" s="309"/>
      <c r="I267" s="310">
        <v>18000</v>
      </c>
      <c r="J267" s="391">
        <f t="shared" si="17"/>
        <v>1.1015911872705018</v>
      </c>
      <c r="K267" s="311">
        <v>0.99</v>
      </c>
      <c r="L267" s="308" t="s">
        <v>61</v>
      </c>
      <c r="M267" s="315">
        <f t="shared" ref="M267:M274" si="18">IFERROR(I267/G267/K267,"-")</f>
        <v>51.948051948051948</v>
      </c>
      <c r="N267" s="312"/>
      <c r="O267" s="315">
        <f t="shared" si="15"/>
        <v>51.948051948051948</v>
      </c>
    </row>
    <row r="268" spans="1:16" hidden="1">
      <c r="A268" s="46"/>
      <c r="B268" s="436" t="s">
        <v>1190</v>
      </c>
      <c r="C268" s="15" t="s">
        <v>1200</v>
      </c>
      <c r="D268" s="15" t="s">
        <v>1201</v>
      </c>
      <c r="E268" s="275"/>
      <c r="F268" s="308" t="s">
        <v>1211</v>
      </c>
      <c r="G268" s="309">
        <v>150</v>
      </c>
      <c r="H268" s="309"/>
      <c r="I268" s="310">
        <v>5000</v>
      </c>
      <c r="J268" s="391">
        <f t="shared" si="17"/>
        <v>0.30599755201958384</v>
      </c>
      <c r="K268" s="311">
        <v>0.99</v>
      </c>
      <c r="L268" s="308" t="s">
        <v>61</v>
      </c>
      <c r="M268" s="315">
        <f t="shared" si="18"/>
        <v>33.670033670033675</v>
      </c>
      <c r="N268" s="312"/>
      <c r="O268" s="315">
        <f t="shared" si="15"/>
        <v>33.670033670033675</v>
      </c>
    </row>
    <row r="269" spans="1:16">
      <c r="A269" s="46"/>
      <c r="B269" s="436" t="s">
        <v>1191</v>
      </c>
      <c r="C269" s="15" t="s">
        <v>1204</v>
      </c>
      <c r="D269" s="15" t="s">
        <v>1203</v>
      </c>
      <c r="E269" s="275"/>
      <c r="F269" s="308" t="s">
        <v>1248</v>
      </c>
      <c r="G269" s="309">
        <v>700</v>
      </c>
      <c r="H269" s="309"/>
      <c r="I269" s="310">
        <v>122100</v>
      </c>
      <c r="J269" s="391">
        <f t="shared" si="17"/>
        <v>7.4724602203182373</v>
      </c>
      <c r="K269" s="311">
        <v>0.99</v>
      </c>
      <c r="L269" s="308" t="s">
        <v>61</v>
      </c>
      <c r="M269" s="315">
        <f t="shared" si="18"/>
        <v>176.19047619047618</v>
      </c>
      <c r="N269" s="312"/>
      <c r="O269" s="315">
        <f t="shared" si="15"/>
        <v>176.19047619047618</v>
      </c>
    </row>
    <row r="270" spans="1:16">
      <c r="A270" s="46"/>
      <c r="B270" s="436" t="s">
        <v>1192</v>
      </c>
      <c r="C270" s="15" t="s">
        <v>1013</v>
      </c>
      <c r="D270" s="15" t="s">
        <v>1014</v>
      </c>
      <c r="E270" s="275"/>
      <c r="F270" s="308" t="s">
        <v>1196</v>
      </c>
      <c r="G270" s="309">
        <v>750</v>
      </c>
      <c r="H270" s="309"/>
      <c r="I270" s="310">
        <v>77700</v>
      </c>
      <c r="J270" s="391">
        <f t="shared" si="17"/>
        <v>4.7552019583843332</v>
      </c>
      <c r="K270" s="311">
        <v>0.99</v>
      </c>
      <c r="L270" s="308" t="s">
        <v>61</v>
      </c>
      <c r="M270" s="315">
        <f t="shared" si="18"/>
        <v>104.64646464646464</v>
      </c>
      <c r="N270" s="312"/>
      <c r="O270" s="315">
        <f t="shared" si="15"/>
        <v>104.64646464646464</v>
      </c>
    </row>
    <row r="271" spans="1:16">
      <c r="A271" s="46"/>
      <c r="B271" s="436" t="s">
        <v>1193</v>
      </c>
      <c r="C271" s="15" t="s">
        <v>1206</v>
      </c>
      <c r="D271" s="15" t="s">
        <v>1205</v>
      </c>
      <c r="E271" s="275"/>
      <c r="F271" s="308" t="s">
        <v>994</v>
      </c>
      <c r="G271" s="309">
        <v>1000</v>
      </c>
      <c r="H271" s="309"/>
      <c r="I271" s="310">
        <v>138750</v>
      </c>
      <c r="J271" s="391">
        <f t="shared" si="17"/>
        <v>8.4914320685434515</v>
      </c>
      <c r="K271" s="311">
        <v>0.99</v>
      </c>
      <c r="L271" s="308" t="s">
        <v>61</v>
      </c>
      <c r="M271" s="315">
        <f t="shared" si="18"/>
        <v>140.15151515151516</v>
      </c>
      <c r="N271" s="312"/>
      <c r="O271" s="315">
        <f t="shared" si="15"/>
        <v>140.15151515151516</v>
      </c>
    </row>
    <row r="272" spans="1:16">
      <c r="A272" s="46"/>
      <c r="B272" s="436" t="s">
        <v>1209</v>
      </c>
      <c r="C272" s="15" t="s">
        <v>1207</v>
      </c>
      <c r="D272" s="15" t="s">
        <v>1208</v>
      </c>
      <c r="E272" s="275"/>
      <c r="F272" s="308" t="s">
        <v>994</v>
      </c>
      <c r="G272" s="309">
        <v>1000</v>
      </c>
      <c r="H272" s="309"/>
      <c r="I272" s="310">
        <v>138750</v>
      </c>
      <c r="J272" s="391">
        <f t="shared" si="17"/>
        <v>8.4914320685434515</v>
      </c>
      <c r="K272" s="311">
        <v>0.99</v>
      </c>
      <c r="L272" s="308" t="s">
        <v>61</v>
      </c>
      <c r="M272" s="315">
        <f t="shared" si="18"/>
        <v>140.15151515151516</v>
      </c>
      <c r="N272" s="312"/>
      <c r="O272" s="315">
        <f t="shared" si="15"/>
        <v>140.15151515151516</v>
      </c>
    </row>
    <row r="273" spans="1:15">
      <c r="A273" s="46"/>
      <c r="B273" s="436" t="s">
        <v>1233</v>
      </c>
      <c r="C273" s="15" t="s">
        <v>1234</v>
      </c>
      <c r="D273" s="15" t="s">
        <v>1236</v>
      </c>
      <c r="E273" s="275"/>
      <c r="F273" s="308" t="s">
        <v>1235</v>
      </c>
      <c r="G273" s="309">
        <v>1500</v>
      </c>
      <c r="H273" s="309"/>
      <c r="I273" s="310">
        <v>70000</v>
      </c>
      <c r="J273" s="391">
        <f t="shared" si="17"/>
        <v>4.2839657282741737</v>
      </c>
      <c r="K273" s="311">
        <v>0.99</v>
      </c>
      <c r="L273" s="308" t="s">
        <v>61</v>
      </c>
      <c r="M273" s="315">
        <f t="shared" si="18"/>
        <v>47.138047138047135</v>
      </c>
      <c r="N273" s="312"/>
      <c r="O273" s="315">
        <f t="shared" si="15"/>
        <v>47.138047138047135</v>
      </c>
    </row>
    <row r="274" spans="1:15" ht="14.65" thickBot="1">
      <c r="A274" s="46"/>
      <c r="B274" s="436" t="s">
        <v>1238</v>
      </c>
      <c r="C274" s="15" t="s">
        <v>1222</v>
      </c>
      <c r="D274" s="15" t="s">
        <v>1237</v>
      </c>
      <c r="E274" s="275"/>
      <c r="F274" s="308" t="s">
        <v>994</v>
      </c>
      <c r="G274" s="309">
        <v>1000</v>
      </c>
      <c r="H274" s="309"/>
      <c r="I274" s="310">
        <v>286000</v>
      </c>
      <c r="J274" s="391">
        <f t="shared" si="17"/>
        <v>17.503059975520195</v>
      </c>
      <c r="K274" s="311">
        <v>1.99</v>
      </c>
      <c r="L274" s="308" t="s">
        <v>61</v>
      </c>
      <c r="M274" s="315">
        <f t="shared" si="18"/>
        <v>143.71859296482413</v>
      </c>
      <c r="N274" s="312"/>
      <c r="O274" s="315">
        <f t="shared" si="15"/>
        <v>143.71859296482413</v>
      </c>
    </row>
    <row r="275" spans="1:15" ht="14.65" thickTop="1">
      <c r="A275" s="46"/>
      <c r="B275" s="60" t="s">
        <v>724</v>
      </c>
      <c r="C275" s="32" t="s">
        <v>473</v>
      </c>
      <c r="D275" s="32" t="s">
        <v>486</v>
      </c>
      <c r="F275" s="317" t="s">
        <v>994</v>
      </c>
      <c r="G275" s="316">
        <v>1000</v>
      </c>
      <c r="H275" s="299"/>
      <c r="I275" s="300">
        <v>56610</v>
      </c>
      <c r="J275" s="390">
        <f>I275/$J$3</f>
        <v>3.4645042839657281</v>
      </c>
      <c r="K275" s="216">
        <v>1</v>
      </c>
      <c r="L275" s="63" t="s">
        <v>61</v>
      </c>
      <c r="M275" s="474">
        <v>56.61</v>
      </c>
      <c r="N275" s="217"/>
      <c r="O275" s="419">
        <f t="shared" si="15"/>
        <v>56.61</v>
      </c>
    </row>
    <row r="276" spans="1:15" hidden="1">
      <c r="A276" s="46"/>
      <c r="B276" s="60" t="s">
        <v>663</v>
      </c>
      <c r="C276" s="15" t="s">
        <v>474</v>
      </c>
      <c r="D276" s="15" t="s">
        <v>487</v>
      </c>
      <c r="F276" s="63"/>
      <c r="G276" s="297"/>
      <c r="H276" s="297"/>
      <c r="I276" s="298"/>
      <c r="J276" s="390">
        <f t="shared" ref="J276:J299" si="19">I276/$J$3</f>
        <v>0</v>
      </c>
      <c r="K276" s="216">
        <v>1</v>
      </c>
      <c r="L276" s="63" t="s">
        <v>61</v>
      </c>
      <c r="M276" s="404" t="str">
        <f t="shared" ref="M276:M299" si="20">IFERROR(I276/G276/K276,"-")</f>
        <v>-</v>
      </c>
      <c r="N276" s="217"/>
      <c r="O276" s="419" t="str">
        <f t="shared" si="15"/>
        <v>-</v>
      </c>
    </row>
    <row r="277" spans="1:15" hidden="1">
      <c r="A277" s="46"/>
      <c r="B277" s="60" t="s">
        <v>479</v>
      </c>
      <c r="C277" s="15" t="s">
        <v>475</v>
      </c>
      <c r="D277" s="15" t="s">
        <v>488</v>
      </c>
      <c r="F277" s="63"/>
      <c r="G277" s="297"/>
      <c r="H277" s="297"/>
      <c r="I277" s="298"/>
      <c r="J277" s="390">
        <f t="shared" si="19"/>
        <v>0</v>
      </c>
      <c r="K277" s="216">
        <v>1</v>
      </c>
      <c r="L277" s="63" t="s">
        <v>61</v>
      </c>
      <c r="M277" s="404" t="str">
        <f t="shared" si="20"/>
        <v>-</v>
      </c>
      <c r="N277" s="217"/>
      <c r="O277" s="419" t="str">
        <f t="shared" si="15"/>
        <v>-</v>
      </c>
    </row>
    <row r="278" spans="1:15" hidden="1">
      <c r="A278" s="46"/>
      <c r="B278" s="60" t="s">
        <v>480</v>
      </c>
      <c r="C278" s="15" t="s">
        <v>476</v>
      </c>
      <c r="D278" s="15" t="s">
        <v>489</v>
      </c>
      <c r="E278" s="193"/>
      <c r="F278" s="63"/>
      <c r="G278" s="297"/>
      <c r="H278" s="297"/>
      <c r="I278" s="298"/>
      <c r="J278" s="390">
        <f t="shared" si="19"/>
        <v>0</v>
      </c>
      <c r="K278" s="216">
        <v>1</v>
      </c>
      <c r="L278" s="63" t="s">
        <v>61</v>
      </c>
      <c r="M278" s="404" t="str">
        <f t="shared" si="20"/>
        <v>-</v>
      </c>
      <c r="N278" s="217"/>
      <c r="O278" s="419" t="str">
        <f t="shared" si="15"/>
        <v>-</v>
      </c>
    </row>
    <row r="279" spans="1:15" ht="18" customHeight="1">
      <c r="A279" s="46"/>
      <c r="B279" s="60" t="s">
        <v>913</v>
      </c>
      <c r="C279" s="15" t="s">
        <v>852</v>
      </c>
      <c r="D279" s="15" t="s">
        <v>853</v>
      </c>
      <c r="F279" s="63" t="s">
        <v>1249</v>
      </c>
      <c r="G279" s="299">
        <v>360</v>
      </c>
      <c r="H279" s="299"/>
      <c r="I279" s="300">
        <v>150017</v>
      </c>
      <c r="J279" s="390">
        <f t="shared" si="19"/>
        <v>9.1809669522643826</v>
      </c>
      <c r="K279" s="216">
        <v>1</v>
      </c>
      <c r="L279" s="63" t="s">
        <v>61</v>
      </c>
      <c r="M279" s="404">
        <f t="shared" si="20"/>
        <v>416.7138888888889</v>
      </c>
      <c r="N279" s="217"/>
      <c r="O279" s="419">
        <f t="shared" si="15"/>
        <v>416.7138888888889</v>
      </c>
    </row>
    <row r="280" spans="1:15" hidden="1">
      <c r="A280" s="46"/>
      <c r="B280" s="60" t="s">
        <v>481</v>
      </c>
      <c r="C280" s="15" t="s">
        <v>983</v>
      </c>
      <c r="D280" s="15" t="s">
        <v>984</v>
      </c>
      <c r="F280" s="63"/>
      <c r="G280" s="297"/>
      <c r="H280" s="297"/>
      <c r="I280" s="298"/>
      <c r="J280" s="390">
        <f t="shared" si="19"/>
        <v>0</v>
      </c>
      <c r="K280" s="216">
        <v>1</v>
      </c>
      <c r="L280" s="63" t="s">
        <v>659</v>
      </c>
      <c r="M280" s="404" t="str">
        <f t="shared" si="20"/>
        <v>-</v>
      </c>
      <c r="N280" s="217"/>
      <c r="O280" s="419" t="str">
        <f t="shared" si="15"/>
        <v>-</v>
      </c>
    </row>
    <row r="281" spans="1:15" hidden="1">
      <c r="A281" s="46"/>
      <c r="B281" s="60" t="s">
        <v>482</v>
      </c>
      <c r="C281" s="15" t="s">
        <v>854</v>
      </c>
      <c r="D281" s="15" t="s">
        <v>855</v>
      </c>
      <c r="F281" s="63"/>
      <c r="G281" s="297"/>
      <c r="H281" s="297"/>
      <c r="I281" s="298"/>
      <c r="J281" s="390">
        <f t="shared" si="19"/>
        <v>0</v>
      </c>
      <c r="K281" s="216">
        <v>1</v>
      </c>
      <c r="L281" s="63" t="s">
        <v>659</v>
      </c>
      <c r="M281" s="404" t="str">
        <f t="shared" si="20"/>
        <v>-</v>
      </c>
      <c r="N281" s="217"/>
      <c r="O281" s="419" t="str">
        <f t="shared" si="15"/>
        <v>-</v>
      </c>
    </row>
    <row r="282" spans="1:15" hidden="1">
      <c r="A282" s="46"/>
      <c r="B282" s="60" t="s">
        <v>483</v>
      </c>
      <c r="C282" s="15" t="s">
        <v>856</v>
      </c>
      <c r="D282" s="15" t="s">
        <v>857</v>
      </c>
      <c r="F282" s="63"/>
      <c r="G282" s="297"/>
      <c r="H282" s="297"/>
      <c r="I282" s="298"/>
      <c r="J282" s="390">
        <f t="shared" si="19"/>
        <v>0</v>
      </c>
      <c r="K282" s="216">
        <v>1</v>
      </c>
      <c r="L282" s="63" t="s">
        <v>659</v>
      </c>
      <c r="M282" s="404" t="str">
        <f t="shared" si="20"/>
        <v>-</v>
      </c>
      <c r="N282" s="217"/>
      <c r="O282" s="419" t="str">
        <f>IFERROR(M282*(1+N282),"-")</f>
        <v>-</v>
      </c>
    </row>
    <row r="283" spans="1:15" hidden="1">
      <c r="A283" s="46"/>
      <c r="B283" s="60" t="s">
        <v>484</v>
      </c>
      <c r="C283" s="15" t="s">
        <v>477</v>
      </c>
      <c r="D283" s="15" t="s">
        <v>490</v>
      </c>
      <c r="E283" s="193"/>
      <c r="F283" s="63"/>
      <c r="G283" s="297"/>
      <c r="H283" s="297"/>
      <c r="I283" s="298"/>
      <c r="J283" s="390">
        <f t="shared" si="19"/>
        <v>0</v>
      </c>
      <c r="K283" s="216">
        <v>1</v>
      </c>
      <c r="L283" s="63" t="s">
        <v>61</v>
      </c>
      <c r="M283" s="404" t="str">
        <f t="shared" si="20"/>
        <v>-</v>
      </c>
      <c r="N283" s="217"/>
      <c r="O283" s="419" t="str">
        <f t="shared" si="15"/>
        <v>-</v>
      </c>
    </row>
    <row r="284" spans="1:15" hidden="1">
      <c r="A284" s="46"/>
      <c r="B284" s="60" t="s">
        <v>485</v>
      </c>
      <c r="C284" s="15" t="s">
        <v>862</v>
      </c>
      <c r="D284" s="15" t="s">
        <v>863</v>
      </c>
      <c r="F284" s="63"/>
      <c r="G284" s="297"/>
      <c r="H284" s="297"/>
      <c r="I284" s="298"/>
      <c r="J284" s="390">
        <f t="shared" si="19"/>
        <v>0</v>
      </c>
      <c r="K284" s="216">
        <v>1</v>
      </c>
      <c r="L284" s="63" t="s">
        <v>659</v>
      </c>
      <c r="M284" s="404" t="str">
        <f t="shared" si="20"/>
        <v>-</v>
      </c>
      <c r="N284" s="217"/>
      <c r="O284" s="419" t="str">
        <f t="shared" si="15"/>
        <v>-</v>
      </c>
    </row>
    <row r="285" spans="1:15" hidden="1">
      <c r="A285" s="46"/>
      <c r="B285" s="60" t="s">
        <v>782</v>
      </c>
      <c r="C285" s="15" t="s">
        <v>858</v>
      </c>
      <c r="D285" s="15" t="s">
        <v>860</v>
      </c>
      <c r="F285" s="63"/>
      <c r="G285" s="297"/>
      <c r="H285" s="297"/>
      <c r="I285" s="298"/>
      <c r="J285" s="390">
        <f t="shared" si="19"/>
        <v>0</v>
      </c>
      <c r="K285" s="216">
        <v>1</v>
      </c>
      <c r="L285" s="63" t="s">
        <v>659</v>
      </c>
      <c r="M285" s="404" t="str">
        <f t="shared" si="20"/>
        <v>-</v>
      </c>
      <c r="N285" s="217"/>
      <c r="O285" s="419" t="str">
        <f t="shared" si="15"/>
        <v>-</v>
      </c>
    </row>
    <row r="286" spans="1:15" hidden="1">
      <c r="A286" s="46"/>
      <c r="B286" s="60" t="s">
        <v>783</v>
      </c>
      <c r="C286" s="15" t="s">
        <v>859</v>
      </c>
      <c r="D286" s="15" t="s">
        <v>861</v>
      </c>
      <c r="E286" s="193"/>
      <c r="F286" s="63"/>
      <c r="G286" s="297"/>
      <c r="H286" s="297"/>
      <c r="I286" s="298"/>
      <c r="J286" s="390">
        <f t="shared" si="19"/>
        <v>0</v>
      </c>
      <c r="K286" s="216">
        <v>1</v>
      </c>
      <c r="L286" s="63" t="s">
        <v>659</v>
      </c>
      <c r="M286" s="404" t="str">
        <f t="shared" si="20"/>
        <v>-</v>
      </c>
      <c r="N286" s="217"/>
      <c r="O286" s="419" t="str">
        <f t="shared" si="15"/>
        <v>-</v>
      </c>
    </row>
    <row r="287" spans="1:15">
      <c r="A287" s="46"/>
      <c r="B287" s="60" t="s">
        <v>784</v>
      </c>
      <c r="C287" s="15" t="s">
        <v>478</v>
      </c>
      <c r="D287" s="15" t="s">
        <v>491</v>
      </c>
      <c r="E287" s="193"/>
      <c r="F287" s="63" t="s">
        <v>1250</v>
      </c>
      <c r="G287" s="299">
        <v>750</v>
      </c>
      <c r="H287" s="299"/>
      <c r="I287" s="300">
        <v>69930</v>
      </c>
      <c r="J287" s="390">
        <f t="shared" si="19"/>
        <v>4.2796817625458994</v>
      </c>
      <c r="K287" s="216">
        <v>1</v>
      </c>
      <c r="L287" s="63" t="s">
        <v>61</v>
      </c>
      <c r="M287" s="474">
        <v>130</v>
      </c>
      <c r="N287" s="217"/>
      <c r="O287" s="419">
        <f t="shared" si="15"/>
        <v>130</v>
      </c>
    </row>
    <row r="288" spans="1:15">
      <c r="A288" s="46"/>
      <c r="B288" s="60" t="s">
        <v>864</v>
      </c>
      <c r="C288" s="15" t="s">
        <v>927</v>
      </c>
      <c r="D288" s="105" t="s">
        <v>492</v>
      </c>
      <c r="E288" s="249"/>
      <c r="F288" s="63" t="s">
        <v>1046</v>
      </c>
      <c r="G288" s="299">
        <v>675</v>
      </c>
      <c r="H288" s="299"/>
      <c r="I288" s="471">
        <f>62000*111/100</f>
        <v>68820</v>
      </c>
      <c r="J288" s="390">
        <f t="shared" si="19"/>
        <v>4.2117503059975521</v>
      </c>
      <c r="K288" s="216">
        <v>1</v>
      </c>
      <c r="L288" s="63" t="s">
        <v>659</v>
      </c>
      <c r="M288" s="404">
        <f t="shared" si="20"/>
        <v>101.95555555555555</v>
      </c>
      <c r="N288" s="217"/>
      <c r="O288" s="419">
        <f t="shared" si="15"/>
        <v>101.95555555555555</v>
      </c>
    </row>
    <row r="289" spans="1:16" hidden="1">
      <c r="A289" s="46"/>
      <c r="B289" s="60" t="s">
        <v>865</v>
      </c>
      <c r="C289" s="190" t="s">
        <v>751</v>
      </c>
      <c r="D289" s="365" t="s">
        <v>698</v>
      </c>
      <c r="E289" s="249"/>
      <c r="F289" s="63"/>
      <c r="G289" s="299"/>
      <c r="H289" s="299"/>
      <c r="I289" s="301"/>
      <c r="J289" s="390">
        <f t="shared" si="19"/>
        <v>0</v>
      </c>
      <c r="K289" s="216">
        <v>1</v>
      </c>
      <c r="L289" s="63" t="s">
        <v>61</v>
      </c>
      <c r="M289" s="404" t="str">
        <f t="shared" si="20"/>
        <v>-</v>
      </c>
      <c r="N289" s="217"/>
      <c r="O289" s="419" t="str">
        <f t="shared" si="15"/>
        <v>-</v>
      </c>
    </row>
    <row r="290" spans="1:16">
      <c r="A290" s="46"/>
      <c r="B290" s="60" t="s">
        <v>866</v>
      </c>
      <c r="C290" s="190" t="s">
        <v>867</v>
      </c>
      <c r="D290" s="365" t="s">
        <v>868</v>
      </c>
      <c r="E290" s="249"/>
      <c r="F290" s="63" t="s">
        <v>869</v>
      </c>
      <c r="G290" s="299">
        <v>500</v>
      </c>
      <c r="H290" s="299"/>
      <c r="I290" s="300">
        <v>107900</v>
      </c>
      <c r="J290" s="390">
        <f t="shared" si="19"/>
        <v>6.6034271725826192</v>
      </c>
      <c r="K290" s="216">
        <v>1</v>
      </c>
      <c r="L290" s="63" t="s">
        <v>61</v>
      </c>
      <c r="M290" s="404">
        <f t="shared" si="20"/>
        <v>215.8</v>
      </c>
      <c r="N290" s="217"/>
      <c r="O290" s="419">
        <f t="shared" si="15"/>
        <v>215.8</v>
      </c>
    </row>
    <row r="291" spans="1:16" hidden="1">
      <c r="A291" s="46"/>
      <c r="B291" s="60" t="s">
        <v>923</v>
      </c>
      <c r="C291" s="15" t="s">
        <v>926</v>
      </c>
      <c r="D291" s="105" t="s">
        <v>932</v>
      </c>
      <c r="E291" s="249"/>
      <c r="F291" s="63"/>
      <c r="G291" s="299"/>
      <c r="H291" s="299"/>
      <c r="I291" s="301"/>
      <c r="J291" s="390">
        <f t="shared" si="19"/>
        <v>0</v>
      </c>
      <c r="K291" s="216">
        <v>1</v>
      </c>
      <c r="L291" s="63" t="s">
        <v>61</v>
      </c>
      <c r="M291" s="404" t="str">
        <f t="shared" si="20"/>
        <v>-</v>
      </c>
      <c r="N291" s="217"/>
      <c r="O291" s="419" t="str">
        <f t="shared" si="15"/>
        <v>-</v>
      </c>
    </row>
    <row r="292" spans="1:16" hidden="1">
      <c r="A292" s="46"/>
      <c r="B292" s="60" t="s">
        <v>924</v>
      </c>
      <c r="C292" s="15" t="s">
        <v>929</v>
      </c>
      <c r="D292" s="105" t="s">
        <v>933</v>
      </c>
      <c r="E292" s="249"/>
      <c r="F292" s="63"/>
      <c r="G292" s="299"/>
      <c r="H292" s="299"/>
      <c r="I292" s="301"/>
      <c r="J292" s="390">
        <f t="shared" si="19"/>
        <v>0</v>
      </c>
      <c r="K292" s="216">
        <v>1</v>
      </c>
      <c r="L292" s="63" t="s">
        <v>61</v>
      </c>
      <c r="M292" s="404" t="str">
        <f t="shared" si="20"/>
        <v>-</v>
      </c>
      <c r="N292" s="217"/>
      <c r="O292" s="419" t="str">
        <f t="shared" si="15"/>
        <v>-</v>
      </c>
    </row>
    <row r="293" spans="1:16" hidden="1">
      <c r="A293" s="46"/>
      <c r="B293" s="60" t="s">
        <v>925</v>
      </c>
      <c r="C293" s="15" t="s">
        <v>930</v>
      </c>
      <c r="D293" s="105" t="s">
        <v>934</v>
      </c>
      <c r="E293" s="249"/>
      <c r="F293" s="63"/>
      <c r="G293" s="299"/>
      <c r="H293" s="299"/>
      <c r="I293" s="301"/>
      <c r="J293" s="390">
        <f t="shared" si="19"/>
        <v>0</v>
      </c>
      <c r="K293" s="216">
        <v>1</v>
      </c>
      <c r="L293" s="63" t="s">
        <v>61</v>
      </c>
      <c r="M293" s="404" t="str">
        <f t="shared" si="20"/>
        <v>-</v>
      </c>
      <c r="N293" s="217"/>
      <c r="O293" s="419" t="str">
        <f t="shared" si="15"/>
        <v>-</v>
      </c>
      <c r="P293" s="233"/>
    </row>
    <row r="294" spans="1:16" hidden="1">
      <c r="A294" s="46"/>
      <c r="B294" s="60" t="s">
        <v>928</v>
      </c>
      <c r="C294" s="15" t="s">
        <v>931</v>
      </c>
      <c r="D294" s="105" t="s">
        <v>935</v>
      </c>
      <c r="E294" s="249"/>
      <c r="F294" s="63"/>
      <c r="G294" s="299"/>
      <c r="H294" s="299"/>
      <c r="I294" s="301"/>
      <c r="J294" s="390">
        <f t="shared" si="19"/>
        <v>0</v>
      </c>
      <c r="K294" s="216">
        <v>1</v>
      </c>
      <c r="L294" s="63" t="s">
        <v>61</v>
      </c>
      <c r="M294" s="404" t="str">
        <f t="shared" si="20"/>
        <v>-</v>
      </c>
      <c r="N294" s="217"/>
      <c r="O294" s="419" t="str">
        <f t="shared" si="15"/>
        <v>-</v>
      </c>
    </row>
    <row r="295" spans="1:16" ht="14.65" hidden="1" thickBot="1">
      <c r="A295" s="46"/>
      <c r="B295" s="61" t="s">
        <v>1041</v>
      </c>
      <c r="C295" s="28" t="s">
        <v>752</v>
      </c>
      <c r="D295" s="304" t="s">
        <v>753</v>
      </c>
      <c r="E295" s="35"/>
      <c r="F295" s="64"/>
      <c r="G295" s="302"/>
      <c r="H295" s="302"/>
      <c r="I295" s="303"/>
      <c r="J295" s="390">
        <f t="shared" si="19"/>
        <v>0</v>
      </c>
      <c r="K295" s="216">
        <v>1</v>
      </c>
      <c r="L295" s="63" t="s">
        <v>61</v>
      </c>
      <c r="M295" s="404" t="str">
        <f t="shared" si="20"/>
        <v>-</v>
      </c>
      <c r="N295" s="217"/>
      <c r="O295" s="419" t="str">
        <f t="shared" si="15"/>
        <v>-</v>
      </c>
    </row>
    <row r="296" spans="1:16">
      <c r="A296" s="46"/>
      <c r="B296" s="295" t="s">
        <v>1042</v>
      </c>
      <c r="C296" s="190" t="s">
        <v>1031</v>
      </c>
      <c r="D296" s="365" t="s">
        <v>1032</v>
      </c>
      <c r="E296" s="296"/>
      <c r="F296" s="63" t="s">
        <v>1033</v>
      </c>
      <c r="G296" s="299">
        <v>360</v>
      </c>
      <c r="H296" s="299"/>
      <c r="I296" s="300">
        <v>199000</v>
      </c>
      <c r="J296" s="390">
        <f t="shared" si="19"/>
        <v>12.178702570379437</v>
      </c>
      <c r="K296" s="216">
        <v>1</v>
      </c>
      <c r="L296" s="63" t="s">
        <v>61</v>
      </c>
      <c r="M296" s="404">
        <f t="shared" si="20"/>
        <v>552.77777777777783</v>
      </c>
      <c r="N296" s="217"/>
      <c r="O296" s="421">
        <f t="shared" si="15"/>
        <v>552.77777777777783</v>
      </c>
    </row>
    <row r="297" spans="1:16">
      <c r="A297" s="46"/>
      <c r="B297" s="295" t="s">
        <v>1043</v>
      </c>
      <c r="C297" s="15" t="s">
        <v>1034</v>
      </c>
      <c r="D297" s="105" t="s">
        <v>1035</v>
      </c>
      <c r="E297" s="296"/>
      <c r="F297" s="63" t="s">
        <v>1036</v>
      </c>
      <c r="G297" s="299">
        <v>330</v>
      </c>
      <c r="H297" s="299"/>
      <c r="I297" s="300">
        <v>109000</v>
      </c>
      <c r="J297" s="390">
        <f t="shared" si="19"/>
        <v>6.6707466340269281</v>
      </c>
      <c r="K297" s="216">
        <v>1</v>
      </c>
      <c r="L297" s="63" t="s">
        <v>61</v>
      </c>
      <c r="M297" s="404">
        <f t="shared" si="20"/>
        <v>330.30303030303031</v>
      </c>
      <c r="N297" s="217"/>
      <c r="O297" s="421">
        <f t="shared" si="15"/>
        <v>330.30303030303031</v>
      </c>
    </row>
    <row r="298" spans="1:16">
      <c r="B298" s="295" t="s">
        <v>1044</v>
      </c>
      <c r="C298" s="15" t="s">
        <v>1037</v>
      </c>
      <c r="D298" s="105" t="s">
        <v>1038</v>
      </c>
      <c r="E298" s="296"/>
      <c r="F298" s="63" t="s">
        <v>1160</v>
      </c>
      <c r="G298" s="299">
        <v>470</v>
      </c>
      <c r="H298" s="299"/>
      <c r="I298" s="300">
        <v>41900</v>
      </c>
      <c r="J298" s="390">
        <f t="shared" si="19"/>
        <v>2.5642594859241128</v>
      </c>
      <c r="K298" s="216">
        <v>1</v>
      </c>
      <c r="L298" s="63" t="s">
        <v>61</v>
      </c>
      <c r="M298" s="404">
        <f t="shared" si="20"/>
        <v>89.148936170212764</v>
      </c>
      <c r="N298" s="217"/>
      <c r="O298" s="421">
        <f t="shared" si="15"/>
        <v>89.148936170212764</v>
      </c>
    </row>
    <row r="299" spans="1:16" hidden="1">
      <c r="B299" s="295" t="s">
        <v>1045</v>
      </c>
      <c r="C299" s="15" t="s">
        <v>1039</v>
      </c>
      <c r="D299" s="105" t="s">
        <v>1040</v>
      </c>
      <c r="E299" s="296"/>
      <c r="F299" s="63" t="s">
        <v>998</v>
      </c>
      <c r="G299" s="299">
        <v>1000</v>
      </c>
      <c r="H299" s="299"/>
      <c r="I299" s="300">
        <v>71050</v>
      </c>
      <c r="J299" s="390">
        <f t="shared" si="19"/>
        <v>4.348225214198286</v>
      </c>
      <c r="K299" s="216">
        <v>1</v>
      </c>
      <c r="L299" s="63" t="s">
        <v>61</v>
      </c>
      <c r="M299" s="404">
        <f t="shared" si="20"/>
        <v>71.05</v>
      </c>
      <c r="N299" s="217"/>
      <c r="O299" s="421">
        <f t="shared" si="15"/>
        <v>71.05</v>
      </c>
    </row>
    <row r="300" spans="1:16" hidden="1">
      <c r="B300" s="295" t="s">
        <v>1147</v>
      </c>
      <c r="C300" s="15" t="s">
        <v>1148</v>
      </c>
      <c r="D300" s="105" t="s">
        <v>1149</v>
      </c>
      <c r="E300" s="296"/>
      <c r="F300" s="63" t="s">
        <v>869</v>
      </c>
      <c r="G300" s="299">
        <v>500</v>
      </c>
      <c r="H300" s="299"/>
      <c r="I300" s="300">
        <v>65625</v>
      </c>
      <c r="J300" s="390">
        <f>I300/$J$3</f>
        <v>4.0162178702570381</v>
      </c>
      <c r="K300" s="216">
        <v>1</v>
      </c>
      <c r="L300" s="63" t="s">
        <v>61</v>
      </c>
      <c r="M300" s="404">
        <f>IFERROR(I300/G300/K300,"-")</f>
        <v>131.25</v>
      </c>
      <c r="N300" s="217"/>
      <c r="O300" s="421">
        <f>IFERROR(M300*(1+N300),"-")</f>
        <v>131.25</v>
      </c>
    </row>
    <row r="301" spans="1:16" hidden="1">
      <c r="B301" s="295"/>
      <c r="C301" s="15"/>
      <c r="D301" s="105"/>
      <c r="E301" s="296"/>
      <c r="F301" s="63"/>
      <c r="G301" s="299"/>
      <c r="H301" s="299"/>
      <c r="I301" s="300"/>
      <c r="J301" s="390"/>
      <c r="K301" s="216"/>
      <c r="L301" s="63"/>
      <c r="M301" s="404"/>
      <c r="N301" s="217"/>
      <c r="O301" s="419"/>
    </row>
    <row r="302" spans="1:16" hidden="1">
      <c r="A302" s="46"/>
      <c r="B302" s="60"/>
      <c r="C302" s="15"/>
      <c r="D302" s="105"/>
      <c r="E302" s="296"/>
      <c r="F302" s="63"/>
      <c r="G302" s="299"/>
      <c r="H302" s="299"/>
      <c r="I302" s="300"/>
      <c r="J302" s="390"/>
      <c r="K302" s="216"/>
      <c r="L302" s="63"/>
      <c r="M302" s="404"/>
      <c r="N302" s="217"/>
      <c r="O302" s="419"/>
    </row>
    <row r="303" spans="1:16" hidden="1">
      <c r="A303" s="46"/>
      <c r="B303" s="66" t="s">
        <v>494</v>
      </c>
      <c r="C303" s="15" t="s">
        <v>496</v>
      </c>
      <c r="D303" s="15" t="s">
        <v>538</v>
      </c>
      <c r="E303" s="16"/>
      <c r="F303" s="29"/>
      <c r="G303" s="30"/>
      <c r="H303" s="30"/>
      <c r="I303" s="189"/>
      <c r="J303" s="376"/>
      <c r="K303" s="372">
        <v>1</v>
      </c>
      <c r="L303" s="373" t="s">
        <v>61</v>
      </c>
      <c r="M303" s="375" t="str">
        <f t="shared" ref="M303:M311" si="21">IFERROR(J303/G303/K303,"-")</f>
        <v>-</v>
      </c>
      <c r="N303" s="374"/>
      <c r="O303" s="405" t="str">
        <f t="shared" ref="O303:O344" si="22">IFERROR(M303*(1+N303),"-")</f>
        <v>-</v>
      </c>
      <c r="P303" s="233"/>
    </row>
    <row r="304" spans="1:16" hidden="1">
      <c r="A304" s="46"/>
      <c r="B304" s="66" t="s">
        <v>495</v>
      </c>
      <c r="C304" s="15" t="s">
        <v>497</v>
      </c>
      <c r="D304" s="15" t="s">
        <v>539</v>
      </c>
      <c r="E304" s="16"/>
      <c r="F304" s="29"/>
      <c r="G304" s="30"/>
      <c r="H304" s="30"/>
      <c r="I304" s="189"/>
      <c r="J304" s="376"/>
      <c r="K304" s="372">
        <v>1</v>
      </c>
      <c r="L304" s="373" t="s">
        <v>61</v>
      </c>
      <c r="M304" s="375" t="str">
        <f t="shared" si="21"/>
        <v>-</v>
      </c>
      <c r="N304" s="374"/>
      <c r="O304" s="405" t="str">
        <f t="shared" si="22"/>
        <v>-</v>
      </c>
      <c r="P304" s="233"/>
    </row>
    <row r="305" spans="1:16" hidden="1">
      <c r="A305" s="46"/>
      <c r="B305" s="66" t="s">
        <v>518</v>
      </c>
      <c r="C305" s="15" t="s">
        <v>498</v>
      </c>
      <c r="D305" s="15" t="s">
        <v>540</v>
      </c>
      <c r="E305" s="16"/>
      <c r="F305" s="29"/>
      <c r="G305" s="30"/>
      <c r="H305" s="30"/>
      <c r="I305" s="189"/>
      <c r="J305" s="376"/>
      <c r="K305" s="372">
        <v>1</v>
      </c>
      <c r="L305" s="373" t="s">
        <v>61</v>
      </c>
      <c r="M305" s="375" t="str">
        <f t="shared" si="21"/>
        <v>-</v>
      </c>
      <c r="N305" s="374"/>
      <c r="O305" s="405" t="str">
        <f t="shared" si="22"/>
        <v>-</v>
      </c>
      <c r="P305" s="233"/>
    </row>
    <row r="306" spans="1:16" hidden="1">
      <c r="A306" s="46"/>
      <c r="B306" s="66" t="s">
        <v>519</v>
      </c>
      <c r="C306" s="15" t="s">
        <v>499</v>
      </c>
      <c r="D306" s="15" t="s">
        <v>541</v>
      </c>
      <c r="E306" s="16"/>
      <c r="F306" s="29"/>
      <c r="G306" s="30"/>
      <c r="H306" s="30"/>
      <c r="I306" s="189"/>
      <c r="J306" s="376"/>
      <c r="K306" s="372">
        <v>1</v>
      </c>
      <c r="L306" s="373" t="s">
        <v>61</v>
      </c>
      <c r="M306" s="375" t="str">
        <f t="shared" si="21"/>
        <v>-</v>
      </c>
      <c r="N306" s="374"/>
      <c r="O306" s="405" t="str">
        <f t="shared" si="22"/>
        <v>-</v>
      </c>
      <c r="P306" s="233"/>
    </row>
    <row r="307" spans="1:16" hidden="1">
      <c r="A307" s="46"/>
      <c r="B307" s="66" t="s">
        <v>520</v>
      </c>
      <c r="C307" s="15" t="s">
        <v>500</v>
      </c>
      <c r="D307" s="15" t="s">
        <v>542</v>
      </c>
      <c r="E307" s="16"/>
      <c r="F307" s="29"/>
      <c r="G307" s="30"/>
      <c r="H307" s="30"/>
      <c r="I307" s="189"/>
      <c r="J307" s="376"/>
      <c r="K307" s="372">
        <v>1</v>
      </c>
      <c r="L307" s="373" t="s">
        <v>61</v>
      </c>
      <c r="M307" s="375" t="str">
        <f t="shared" si="21"/>
        <v>-</v>
      </c>
      <c r="N307" s="374"/>
      <c r="O307" s="405" t="str">
        <f t="shared" si="22"/>
        <v>-</v>
      </c>
      <c r="P307" s="233"/>
    </row>
    <row r="308" spans="1:16" hidden="1">
      <c r="A308" s="46"/>
      <c r="B308" s="66" t="s">
        <v>521</v>
      </c>
      <c r="C308" s="15" t="s">
        <v>501</v>
      </c>
      <c r="D308" s="15" t="s">
        <v>543</v>
      </c>
      <c r="E308" s="16"/>
      <c r="F308" s="29"/>
      <c r="G308" s="30"/>
      <c r="H308" s="30"/>
      <c r="I308" s="189"/>
      <c r="J308" s="376"/>
      <c r="K308" s="372">
        <v>1</v>
      </c>
      <c r="L308" s="373" t="s">
        <v>61</v>
      </c>
      <c r="M308" s="375" t="str">
        <f t="shared" si="21"/>
        <v>-</v>
      </c>
      <c r="N308" s="374"/>
      <c r="O308" s="405" t="str">
        <f t="shared" si="22"/>
        <v>-</v>
      </c>
      <c r="P308" s="233"/>
    </row>
    <row r="309" spans="1:16" hidden="1">
      <c r="A309" s="46"/>
      <c r="B309" s="66" t="s">
        <v>522</v>
      </c>
      <c r="C309" s="15" t="s">
        <v>502</v>
      </c>
      <c r="D309" s="15" t="s">
        <v>544</v>
      </c>
      <c r="E309" s="16"/>
      <c r="F309" s="29"/>
      <c r="G309" s="30"/>
      <c r="H309" s="30"/>
      <c r="I309" s="189"/>
      <c r="J309" s="376"/>
      <c r="K309" s="372">
        <v>1</v>
      </c>
      <c r="L309" s="373" t="s">
        <v>61</v>
      </c>
      <c r="M309" s="375" t="str">
        <f t="shared" si="21"/>
        <v>-</v>
      </c>
      <c r="N309" s="374"/>
      <c r="O309" s="405" t="str">
        <f t="shared" si="22"/>
        <v>-</v>
      </c>
      <c r="P309" s="233"/>
    </row>
    <row r="310" spans="1:16" hidden="1">
      <c r="A310" s="46"/>
      <c r="B310" s="66" t="s">
        <v>523</v>
      </c>
      <c r="C310" s="15" t="s">
        <v>503</v>
      </c>
      <c r="D310" s="15" t="s">
        <v>545</v>
      </c>
      <c r="E310" s="16"/>
      <c r="F310" s="29"/>
      <c r="G310" s="30"/>
      <c r="H310" s="30"/>
      <c r="I310" s="189"/>
      <c r="J310" s="376"/>
      <c r="K310" s="372">
        <v>1</v>
      </c>
      <c r="L310" s="373" t="s">
        <v>61</v>
      </c>
      <c r="M310" s="375" t="str">
        <f t="shared" si="21"/>
        <v>-</v>
      </c>
      <c r="N310" s="374"/>
      <c r="O310" s="405" t="str">
        <f t="shared" si="22"/>
        <v>-</v>
      </c>
      <c r="P310" s="233"/>
    </row>
    <row r="311" spans="1:16" hidden="1">
      <c r="A311" s="46"/>
      <c r="B311" s="66" t="s">
        <v>524</v>
      </c>
      <c r="C311" s="15" t="s">
        <v>504</v>
      </c>
      <c r="D311" s="15" t="s">
        <v>546</v>
      </c>
      <c r="E311" s="16"/>
      <c r="F311" s="29"/>
      <c r="G311" s="30"/>
      <c r="H311" s="30"/>
      <c r="I311" s="189"/>
      <c r="J311" s="376"/>
      <c r="K311" s="372">
        <v>1</v>
      </c>
      <c r="L311" s="373" t="s">
        <v>61</v>
      </c>
      <c r="M311" s="375" t="str">
        <f t="shared" si="21"/>
        <v>-</v>
      </c>
      <c r="N311" s="374"/>
      <c r="O311" s="405" t="str">
        <f t="shared" si="22"/>
        <v>-</v>
      </c>
      <c r="P311" s="233"/>
    </row>
    <row r="312" spans="1:16">
      <c r="B312" s="306" t="s">
        <v>525</v>
      </c>
      <c r="C312" s="15" t="s">
        <v>505</v>
      </c>
      <c r="D312" s="15" t="s">
        <v>547</v>
      </c>
      <c r="E312" s="16"/>
      <c r="F312" s="308" t="s">
        <v>1070</v>
      </c>
      <c r="G312" s="309">
        <v>150</v>
      </c>
      <c r="H312" s="309"/>
      <c r="I312" s="310">
        <v>7917</v>
      </c>
      <c r="J312" s="391">
        <f>I312/$J$3</f>
        <v>0.48451652386780908</v>
      </c>
      <c r="K312" s="311">
        <v>1</v>
      </c>
      <c r="L312" s="308" t="s">
        <v>659</v>
      </c>
      <c r="M312" s="315">
        <f>IFERROR(I312/G312/K312,"-")</f>
        <v>52.78</v>
      </c>
      <c r="N312" s="312"/>
      <c r="O312" s="420">
        <f t="shared" si="22"/>
        <v>52.78</v>
      </c>
    </row>
    <row r="313" spans="1:16">
      <c r="B313" s="306" t="s">
        <v>526</v>
      </c>
      <c r="C313" s="15" t="s">
        <v>506</v>
      </c>
      <c r="D313" s="15" t="s">
        <v>548</v>
      </c>
      <c r="E313" s="16"/>
      <c r="F313" s="308" t="s">
        <v>1053</v>
      </c>
      <c r="G313" s="309">
        <v>1</v>
      </c>
      <c r="H313" s="309"/>
      <c r="I313" s="310">
        <v>190</v>
      </c>
      <c r="J313" s="391">
        <f t="shared" ref="J313:J318" si="23">I313/$J$3</f>
        <v>1.1627906976744186E-2</v>
      </c>
      <c r="K313" s="311">
        <v>1</v>
      </c>
      <c r="L313" s="308" t="s">
        <v>659</v>
      </c>
      <c r="M313" s="315">
        <f t="shared" ref="M313:M337" si="24">IFERROR(I313/G313/K313,"-")</f>
        <v>190</v>
      </c>
      <c r="N313" s="312"/>
      <c r="O313" s="420">
        <f t="shared" si="22"/>
        <v>190</v>
      </c>
    </row>
    <row r="314" spans="1:16">
      <c r="B314" s="306" t="s">
        <v>527</v>
      </c>
      <c r="C314" s="15" t="s">
        <v>507</v>
      </c>
      <c r="D314" s="15" t="s">
        <v>549</v>
      </c>
      <c r="E314" s="16"/>
      <c r="F314" s="308" t="s">
        <v>1071</v>
      </c>
      <c r="G314" s="309">
        <v>100</v>
      </c>
      <c r="H314" s="309"/>
      <c r="I314" s="310">
        <v>19900</v>
      </c>
      <c r="J314" s="391">
        <f t="shared" si="23"/>
        <v>1.2178702570379436</v>
      </c>
      <c r="K314" s="311">
        <v>1</v>
      </c>
      <c r="L314" s="308" t="s">
        <v>659</v>
      </c>
      <c r="M314" s="315">
        <f t="shared" si="24"/>
        <v>199</v>
      </c>
      <c r="N314" s="312"/>
      <c r="O314" s="420">
        <f t="shared" si="22"/>
        <v>199</v>
      </c>
    </row>
    <row r="315" spans="1:16">
      <c r="B315" s="306" t="s">
        <v>528</v>
      </c>
      <c r="C315" s="15" t="s">
        <v>508</v>
      </c>
      <c r="D315" s="15" t="s">
        <v>550</v>
      </c>
      <c r="E315" s="16"/>
      <c r="F315" s="308" t="s">
        <v>1053</v>
      </c>
      <c r="G315" s="309">
        <v>1</v>
      </c>
      <c r="H315" s="309"/>
      <c r="I315" s="310">
        <v>190</v>
      </c>
      <c r="J315" s="391">
        <f t="shared" si="23"/>
        <v>1.1627906976744186E-2</v>
      </c>
      <c r="K315" s="311">
        <v>1</v>
      </c>
      <c r="L315" s="308" t="s">
        <v>659</v>
      </c>
      <c r="M315" s="315">
        <f t="shared" si="24"/>
        <v>190</v>
      </c>
      <c r="N315" s="312"/>
      <c r="O315" s="420">
        <f t="shared" si="22"/>
        <v>190</v>
      </c>
    </row>
    <row r="316" spans="1:16">
      <c r="B316" s="306" t="s">
        <v>529</v>
      </c>
      <c r="C316" s="15" t="s">
        <v>509</v>
      </c>
      <c r="D316" s="15" t="s">
        <v>551</v>
      </c>
      <c r="E316" s="16"/>
      <c r="F316" s="308" t="s">
        <v>1053</v>
      </c>
      <c r="G316" s="309">
        <v>1</v>
      </c>
      <c r="H316" s="309"/>
      <c r="I316" s="310">
        <v>650</v>
      </c>
      <c r="J316" s="391">
        <f t="shared" si="23"/>
        <v>3.9779681762545899E-2</v>
      </c>
      <c r="K316" s="311">
        <v>1</v>
      </c>
      <c r="L316" s="308" t="s">
        <v>659</v>
      </c>
      <c r="M316" s="315">
        <f t="shared" si="24"/>
        <v>650</v>
      </c>
      <c r="N316" s="312"/>
      <c r="O316" s="420">
        <f t="shared" si="22"/>
        <v>650</v>
      </c>
    </row>
    <row r="317" spans="1:16">
      <c r="B317" s="306" t="s">
        <v>530</v>
      </c>
      <c r="C317" s="15" t="s">
        <v>510</v>
      </c>
      <c r="D317" s="15" t="s">
        <v>552</v>
      </c>
      <c r="E317" s="16"/>
      <c r="F317" s="308" t="s">
        <v>1053</v>
      </c>
      <c r="G317" s="309">
        <v>1</v>
      </c>
      <c r="H317" s="309"/>
      <c r="I317" s="310">
        <v>161</v>
      </c>
      <c r="J317" s="391">
        <f t="shared" si="23"/>
        <v>9.8531211750306005E-3</v>
      </c>
      <c r="K317" s="311">
        <v>1</v>
      </c>
      <c r="L317" s="308" t="s">
        <v>659</v>
      </c>
      <c r="M317" s="315">
        <f t="shared" si="24"/>
        <v>161</v>
      </c>
      <c r="N317" s="312"/>
      <c r="O317" s="420">
        <f t="shared" si="22"/>
        <v>161</v>
      </c>
    </row>
    <row r="318" spans="1:16">
      <c r="B318" s="306" t="s">
        <v>531</v>
      </c>
      <c r="C318" s="15" t="s">
        <v>511</v>
      </c>
      <c r="D318" s="15" t="s">
        <v>553</v>
      </c>
      <c r="E318" s="16"/>
      <c r="F318" s="308">
        <v>1</v>
      </c>
      <c r="G318" s="309">
        <v>1</v>
      </c>
      <c r="H318" s="309"/>
      <c r="I318" s="313">
        <v>620</v>
      </c>
      <c r="J318" s="391">
        <f t="shared" si="23"/>
        <v>3.7943696450428395E-2</v>
      </c>
      <c r="K318" s="311">
        <v>1</v>
      </c>
      <c r="L318" s="308" t="s">
        <v>659</v>
      </c>
      <c r="M318" s="315">
        <f t="shared" si="24"/>
        <v>620</v>
      </c>
      <c r="N318" s="312"/>
      <c r="O318" s="420">
        <f t="shared" si="22"/>
        <v>620</v>
      </c>
    </row>
    <row r="319" spans="1:16" hidden="1">
      <c r="B319" s="306" t="s">
        <v>532</v>
      </c>
      <c r="C319" s="15" t="s">
        <v>512</v>
      </c>
      <c r="D319" s="15" t="s">
        <v>554</v>
      </c>
      <c r="E319" s="16"/>
      <c r="F319" s="308"/>
      <c r="G319" s="309"/>
      <c r="H319" s="309"/>
      <c r="I319" s="313"/>
      <c r="J319" s="391"/>
      <c r="K319" s="311">
        <v>1</v>
      </c>
      <c r="L319" s="308" t="s">
        <v>61</v>
      </c>
      <c r="M319" s="315" t="str">
        <f t="shared" si="24"/>
        <v>-</v>
      </c>
      <c r="N319" s="312"/>
      <c r="O319" s="420" t="str">
        <f t="shared" si="22"/>
        <v>-</v>
      </c>
    </row>
    <row r="320" spans="1:16" hidden="1">
      <c r="B320" s="306" t="s">
        <v>533</v>
      </c>
      <c r="C320" s="15" t="s">
        <v>513</v>
      </c>
      <c r="D320" s="15" t="s">
        <v>555</v>
      </c>
      <c r="E320" s="16"/>
      <c r="F320" s="308"/>
      <c r="G320" s="309"/>
      <c r="H320" s="309"/>
      <c r="I320" s="313"/>
      <c r="J320" s="391"/>
      <c r="K320" s="311">
        <v>1</v>
      </c>
      <c r="L320" s="308" t="s">
        <v>61</v>
      </c>
      <c r="M320" s="315" t="str">
        <f t="shared" si="24"/>
        <v>-</v>
      </c>
      <c r="N320" s="312"/>
      <c r="O320" s="420" t="str">
        <f t="shared" si="22"/>
        <v>-</v>
      </c>
    </row>
    <row r="321" spans="2:15">
      <c r="B321" s="306" t="s">
        <v>534</v>
      </c>
      <c r="C321" s="15" t="s">
        <v>514</v>
      </c>
      <c r="D321" s="15" t="s">
        <v>556</v>
      </c>
      <c r="E321" s="16"/>
      <c r="F321" s="308">
        <v>1</v>
      </c>
      <c r="G321" s="309">
        <v>1</v>
      </c>
      <c r="H321" s="309"/>
      <c r="I321" s="310">
        <v>620</v>
      </c>
      <c r="J321" s="391">
        <f>I321/$J$3</f>
        <v>3.7943696450428395E-2</v>
      </c>
      <c r="K321" s="311">
        <v>1</v>
      </c>
      <c r="L321" s="308" t="s">
        <v>659</v>
      </c>
      <c r="M321" s="315">
        <f t="shared" si="24"/>
        <v>620</v>
      </c>
      <c r="N321" s="312"/>
      <c r="O321" s="420">
        <f t="shared" si="22"/>
        <v>620</v>
      </c>
    </row>
    <row r="322" spans="2:15" hidden="1">
      <c r="B322" s="306" t="s">
        <v>535</v>
      </c>
      <c r="C322" s="15" t="s">
        <v>515</v>
      </c>
      <c r="D322" s="15" t="s">
        <v>557</v>
      </c>
      <c r="E322" s="16"/>
      <c r="F322" s="308"/>
      <c r="G322" s="309"/>
      <c r="H322" s="309"/>
      <c r="I322" s="313"/>
      <c r="J322" s="391"/>
      <c r="K322" s="311">
        <v>1</v>
      </c>
      <c r="L322" s="308" t="s">
        <v>61</v>
      </c>
      <c r="M322" s="315" t="str">
        <f t="shared" si="24"/>
        <v>-</v>
      </c>
      <c r="N322" s="312"/>
      <c r="O322" s="420" t="str">
        <f t="shared" si="22"/>
        <v>-</v>
      </c>
    </row>
    <row r="323" spans="2:15" hidden="1">
      <c r="B323" s="306" t="s">
        <v>536</v>
      </c>
      <c r="C323" s="15" t="s">
        <v>516</v>
      </c>
      <c r="D323" s="15" t="s">
        <v>558</v>
      </c>
      <c r="E323" s="16"/>
      <c r="F323" s="308"/>
      <c r="G323" s="309"/>
      <c r="H323" s="309"/>
      <c r="I323" s="313"/>
      <c r="J323" s="391"/>
      <c r="K323" s="311">
        <v>1</v>
      </c>
      <c r="L323" s="308" t="s">
        <v>61</v>
      </c>
      <c r="M323" s="315" t="str">
        <f t="shared" si="24"/>
        <v>-</v>
      </c>
      <c r="N323" s="312"/>
      <c r="O323" s="420" t="str">
        <f t="shared" si="22"/>
        <v>-</v>
      </c>
    </row>
    <row r="324" spans="2:15" hidden="1">
      <c r="B324" s="306" t="s">
        <v>537</v>
      </c>
      <c r="C324" s="15" t="s">
        <v>517</v>
      </c>
      <c r="D324" s="15" t="s">
        <v>559</v>
      </c>
      <c r="E324" s="16"/>
      <c r="F324" s="308"/>
      <c r="G324" s="309"/>
      <c r="H324" s="309"/>
      <c r="I324" s="313"/>
      <c r="J324" s="391"/>
      <c r="K324" s="311">
        <v>1</v>
      </c>
      <c r="L324" s="308" t="s">
        <v>61</v>
      </c>
      <c r="M324" s="315" t="str">
        <f t="shared" si="24"/>
        <v>-</v>
      </c>
      <c r="N324" s="312"/>
      <c r="O324" s="420" t="str">
        <f t="shared" si="22"/>
        <v>-</v>
      </c>
    </row>
    <row r="325" spans="2:15" hidden="1">
      <c r="B325" s="306" t="s">
        <v>560</v>
      </c>
      <c r="C325" s="15" t="s">
        <v>562</v>
      </c>
      <c r="D325" s="15" t="s">
        <v>564</v>
      </c>
      <c r="E325" s="16"/>
      <c r="F325" s="308"/>
      <c r="G325" s="309"/>
      <c r="H325" s="309"/>
      <c r="I325" s="313"/>
      <c r="J325" s="391"/>
      <c r="K325" s="311">
        <v>1</v>
      </c>
      <c r="L325" s="308" t="s">
        <v>61</v>
      </c>
      <c r="M325" s="315" t="str">
        <f t="shared" si="24"/>
        <v>-</v>
      </c>
      <c r="N325" s="312"/>
      <c r="O325" s="420" t="str">
        <f t="shared" si="22"/>
        <v>-</v>
      </c>
    </row>
    <row r="326" spans="2:15" hidden="1">
      <c r="B326" s="307" t="s">
        <v>561</v>
      </c>
      <c r="C326" s="15" t="s">
        <v>563</v>
      </c>
      <c r="D326" s="15" t="s">
        <v>565</v>
      </c>
      <c r="E326" s="16"/>
      <c r="F326" s="308"/>
      <c r="G326" s="309"/>
      <c r="H326" s="309"/>
      <c r="I326" s="313"/>
      <c r="J326" s="391"/>
      <c r="K326" s="311">
        <v>1</v>
      </c>
      <c r="L326" s="308" t="s">
        <v>61</v>
      </c>
      <c r="M326" s="315" t="str">
        <f t="shared" si="24"/>
        <v>-</v>
      </c>
      <c r="N326" s="312"/>
      <c r="O326" s="420" t="str">
        <f t="shared" si="22"/>
        <v>-</v>
      </c>
    </row>
    <row r="327" spans="2:15">
      <c r="B327" s="306" t="s">
        <v>1047</v>
      </c>
      <c r="C327" s="15" t="s">
        <v>1048</v>
      </c>
      <c r="D327" s="15" t="s">
        <v>1049</v>
      </c>
      <c r="E327" s="305"/>
      <c r="F327" s="308" t="s">
        <v>1050</v>
      </c>
      <c r="G327" s="309">
        <v>1</v>
      </c>
      <c r="H327" s="309"/>
      <c r="I327" s="310">
        <v>1800</v>
      </c>
      <c r="J327" s="391">
        <f>I327/$J$3</f>
        <v>0.11015911872705018</v>
      </c>
      <c r="K327" s="311">
        <v>1</v>
      </c>
      <c r="L327" s="308" t="s">
        <v>659</v>
      </c>
      <c r="M327" s="474">
        <v>550</v>
      </c>
      <c r="N327" s="314"/>
      <c r="O327" s="420">
        <f t="shared" si="22"/>
        <v>550</v>
      </c>
    </row>
    <row r="328" spans="2:15">
      <c r="B328" s="306" t="s">
        <v>1072</v>
      </c>
      <c r="C328" s="15" t="s">
        <v>1051</v>
      </c>
      <c r="D328" s="15" t="s">
        <v>1052</v>
      </c>
      <c r="E328" s="305"/>
      <c r="F328" s="308" t="s">
        <v>1053</v>
      </c>
      <c r="G328" s="309">
        <v>1</v>
      </c>
      <c r="H328" s="309"/>
      <c r="I328" s="310">
        <v>1406</v>
      </c>
      <c r="J328" s="391">
        <f t="shared" ref="J328:J344" si="25">I328/$J$3</f>
        <v>8.6046511627906982E-2</v>
      </c>
      <c r="K328" s="311">
        <v>1</v>
      </c>
      <c r="L328" s="308" t="s">
        <v>659</v>
      </c>
      <c r="M328" s="315">
        <f t="shared" si="24"/>
        <v>1406</v>
      </c>
      <c r="N328" s="314"/>
      <c r="O328" s="420">
        <f t="shared" si="22"/>
        <v>1406</v>
      </c>
    </row>
    <row r="329" spans="2:15">
      <c r="B329" s="306" t="s">
        <v>1073</v>
      </c>
      <c r="C329" s="15" t="s">
        <v>1054</v>
      </c>
      <c r="D329" s="15" t="s">
        <v>1055</v>
      </c>
      <c r="E329" s="305"/>
      <c r="F329" s="308" t="s">
        <v>1050</v>
      </c>
      <c r="G329" s="309">
        <v>1</v>
      </c>
      <c r="H329" s="309"/>
      <c r="I329" s="310">
        <v>1050</v>
      </c>
      <c r="J329" s="391">
        <f t="shared" si="25"/>
        <v>6.4259485924112611E-2</v>
      </c>
      <c r="K329" s="311">
        <v>1</v>
      </c>
      <c r="L329" s="308" t="s">
        <v>659</v>
      </c>
      <c r="M329" s="315">
        <f t="shared" si="24"/>
        <v>1050</v>
      </c>
      <c r="N329" s="314"/>
      <c r="O329" s="420">
        <f t="shared" si="22"/>
        <v>1050</v>
      </c>
    </row>
    <row r="330" spans="2:15">
      <c r="B330" s="306" t="s">
        <v>1074</v>
      </c>
      <c r="C330" s="15" t="s">
        <v>1056</v>
      </c>
      <c r="D330" s="15" t="s">
        <v>1057</v>
      </c>
      <c r="E330" s="305"/>
      <c r="F330" s="308" t="s">
        <v>1053</v>
      </c>
      <c r="G330" s="309">
        <v>1</v>
      </c>
      <c r="H330" s="309"/>
      <c r="I330" s="310">
        <v>750</v>
      </c>
      <c r="J330" s="391">
        <f t="shared" si="25"/>
        <v>4.5899632802937573E-2</v>
      </c>
      <c r="K330" s="311">
        <v>1</v>
      </c>
      <c r="L330" s="308" t="s">
        <v>659</v>
      </c>
      <c r="M330" s="315">
        <f t="shared" si="24"/>
        <v>750</v>
      </c>
      <c r="N330" s="314"/>
      <c r="O330" s="420">
        <f t="shared" si="22"/>
        <v>750</v>
      </c>
    </row>
    <row r="331" spans="2:15" hidden="1">
      <c r="B331" s="306" t="s">
        <v>1075</v>
      </c>
      <c r="C331" s="15" t="s">
        <v>1058</v>
      </c>
      <c r="D331" s="15" t="s">
        <v>1059</v>
      </c>
      <c r="E331" s="305"/>
      <c r="F331" s="308"/>
      <c r="G331" s="309"/>
      <c r="H331" s="309"/>
      <c r="I331" s="315"/>
      <c r="J331" s="391">
        <f t="shared" si="25"/>
        <v>0</v>
      </c>
      <c r="K331" s="311">
        <v>1</v>
      </c>
      <c r="L331" s="308" t="s">
        <v>659</v>
      </c>
      <c r="M331" s="315" t="str">
        <f t="shared" si="24"/>
        <v>-</v>
      </c>
      <c r="N331" s="314"/>
      <c r="O331" s="420" t="str">
        <f t="shared" si="22"/>
        <v>-</v>
      </c>
    </row>
    <row r="332" spans="2:15">
      <c r="B332" s="306" t="s">
        <v>1076</v>
      </c>
      <c r="C332" s="15" t="s">
        <v>1060</v>
      </c>
      <c r="D332" s="15" t="s">
        <v>1061</v>
      </c>
      <c r="E332" s="305"/>
      <c r="F332" s="308" t="s">
        <v>1053</v>
      </c>
      <c r="G332" s="309">
        <v>1</v>
      </c>
      <c r="H332" s="309"/>
      <c r="I332" s="310">
        <v>1146</v>
      </c>
      <c r="J332" s="391">
        <f t="shared" si="25"/>
        <v>7.0134638922888612E-2</v>
      </c>
      <c r="K332" s="311">
        <v>1</v>
      </c>
      <c r="L332" s="308" t="s">
        <v>659</v>
      </c>
      <c r="M332" s="474">
        <v>1146</v>
      </c>
      <c r="N332" s="314"/>
      <c r="O332" s="420">
        <f t="shared" si="22"/>
        <v>1146</v>
      </c>
    </row>
    <row r="333" spans="2:15">
      <c r="B333" s="306" t="s">
        <v>1077</v>
      </c>
      <c r="C333" s="15" t="s">
        <v>1179</v>
      </c>
      <c r="D333" s="15" t="s">
        <v>1180</v>
      </c>
      <c r="E333" s="305"/>
      <c r="F333" s="308" t="s">
        <v>1053</v>
      </c>
      <c r="G333" s="309">
        <v>1</v>
      </c>
      <c r="H333" s="309"/>
      <c r="I333" s="310">
        <v>200</v>
      </c>
      <c r="J333" s="391">
        <f t="shared" si="25"/>
        <v>1.2239902080783354E-2</v>
      </c>
      <c r="K333" s="311">
        <v>1</v>
      </c>
      <c r="L333" s="308" t="s">
        <v>659</v>
      </c>
      <c r="M333" s="315">
        <f t="shared" si="24"/>
        <v>200</v>
      </c>
      <c r="N333" s="314"/>
      <c r="O333" s="446">
        <f t="shared" si="22"/>
        <v>200</v>
      </c>
    </row>
    <row r="334" spans="2:15" hidden="1">
      <c r="B334" s="306" t="s">
        <v>1078</v>
      </c>
      <c r="C334" s="15" t="s">
        <v>1062</v>
      </c>
      <c r="D334" s="15" t="s">
        <v>1063</v>
      </c>
      <c r="E334" s="305"/>
      <c r="F334" s="308"/>
      <c r="G334" s="309"/>
      <c r="H334" s="309"/>
      <c r="I334" s="315"/>
      <c r="J334" s="391">
        <f t="shared" si="25"/>
        <v>0</v>
      </c>
      <c r="K334" s="311">
        <v>1</v>
      </c>
      <c r="L334" s="308" t="s">
        <v>659</v>
      </c>
      <c r="M334" s="315" t="str">
        <f t="shared" si="24"/>
        <v>-</v>
      </c>
      <c r="N334" s="314"/>
      <c r="O334" s="446" t="str">
        <f t="shared" si="22"/>
        <v>-</v>
      </c>
    </row>
    <row r="335" spans="2:15">
      <c r="B335" s="306" t="s">
        <v>1079</v>
      </c>
      <c r="C335" s="15" t="s">
        <v>1064</v>
      </c>
      <c r="D335" s="15" t="s">
        <v>1065</v>
      </c>
      <c r="E335" s="305"/>
      <c r="F335" s="308" t="s">
        <v>1053</v>
      </c>
      <c r="G335" s="309">
        <v>1</v>
      </c>
      <c r="H335" s="309"/>
      <c r="I335" s="310">
        <v>231</v>
      </c>
      <c r="J335" s="391">
        <f t="shared" si="25"/>
        <v>1.4137086903304773E-2</v>
      </c>
      <c r="K335" s="311">
        <v>1</v>
      </c>
      <c r="L335" s="308" t="s">
        <v>659</v>
      </c>
      <c r="M335" s="315">
        <f t="shared" si="24"/>
        <v>231</v>
      </c>
      <c r="N335" s="314"/>
      <c r="O335" s="446">
        <f t="shared" si="22"/>
        <v>231</v>
      </c>
    </row>
    <row r="336" spans="2:15">
      <c r="B336" s="306" t="s">
        <v>1080</v>
      </c>
      <c r="C336" s="15" t="s">
        <v>1066</v>
      </c>
      <c r="D336" s="15" t="s">
        <v>1067</v>
      </c>
      <c r="E336" s="305"/>
      <c r="F336" s="308" t="s">
        <v>1053</v>
      </c>
      <c r="G336" s="309">
        <v>1</v>
      </c>
      <c r="H336" s="309"/>
      <c r="I336" s="310">
        <v>1475</v>
      </c>
      <c r="J336" s="391">
        <f t="shared" si="25"/>
        <v>9.0269277845777235E-2</v>
      </c>
      <c r="K336" s="311">
        <v>1</v>
      </c>
      <c r="L336" s="308" t="s">
        <v>659</v>
      </c>
      <c r="M336" s="315">
        <f t="shared" si="24"/>
        <v>1475</v>
      </c>
      <c r="N336" s="314"/>
      <c r="O336" s="446">
        <f t="shared" si="22"/>
        <v>1475</v>
      </c>
    </row>
    <row r="337" spans="2:15">
      <c r="B337" s="306" t="s">
        <v>1081</v>
      </c>
      <c r="C337" s="15" t="s">
        <v>1068</v>
      </c>
      <c r="D337" s="15" t="s">
        <v>1069</v>
      </c>
      <c r="E337" s="305"/>
      <c r="F337" s="308" t="s">
        <v>1053</v>
      </c>
      <c r="G337" s="309">
        <v>1</v>
      </c>
      <c r="H337" s="309"/>
      <c r="I337" s="310">
        <v>1700</v>
      </c>
      <c r="J337" s="391">
        <f t="shared" si="25"/>
        <v>0.10403916768665851</v>
      </c>
      <c r="K337" s="311">
        <v>1</v>
      </c>
      <c r="L337" s="308" t="s">
        <v>659</v>
      </c>
      <c r="M337" s="315">
        <f t="shared" si="24"/>
        <v>1700</v>
      </c>
      <c r="N337" s="314"/>
      <c r="O337" s="446">
        <f t="shared" si="22"/>
        <v>1700</v>
      </c>
    </row>
    <row r="338" spans="2:15">
      <c r="B338" s="306" t="s">
        <v>1176</v>
      </c>
      <c r="C338" s="15" t="s">
        <v>1177</v>
      </c>
      <c r="D338" s="1" t="s">
        <v>1178</v>
      </c>
      <c r="F338" s="437" t="s">
        <v>1053</v>
      </c>
      <c r="G338" s="438">
        <v>1</v>
      </c>
      <c r="H338" s="438"/>
      <c r="I338" s="473">
        <v>543</v>
      </c>
      <c r="J338" s="439">
        <f t="shared" si="25"/>
        <v>3.3231334149326802E-2</v>
      </c>
      <c r="K338" s="311">
        <v>1</v>
      </c>
      <c r="L338" s="308" t="s">
        <v>659</v>
      </c>
      <c r="M338" s="440">
        <f>IFERROR(J338/G338/K338,"-")</f>
        <v>3.3231334149326802E-2</v>
      </c>
      <c r="N338" s="314"/>
      <c r="O338" s="446">
        <f t="shared" si="22"/>
        <v>3.3231334149326802E-2</v>
      </c>
    </row>
    <row r="339" spans="2:15">
      <c r="B339" s="306" t="s">
        <v>1182</v>
      </c>
      <c r="C339" s="15" t="s">
        <v>1181</v>
      </c>
      <c r="D339" s="1" t="s">
        <v>1183</v>
      </c>
      <c r="F339" s="437" t="s">
        <v>1053</v>
      </c>
      <c r="G339" s="438">
        <v>1</v>
      </c>
      <c r="H339" s="438"/>
      <c r="I339" s="473">
        <v>1321</v>
      </c>
      <c r="J339" s="439">
        <f t="shared" si="25"/>
        <v>8.0844553243574049E-2</v>
      </c>
      <c r="K339" s="311">
        <v>1</v>
      </c>
      <c r="L339" s="308" t="s">
        <v>659</v>
      </c>
      <c r="M339" s="474">
        <v>1321</v>
      </c>
      <c r="N339" s="314"/>
      <c r="O339" s="446">
        <f>IFERROR(M339*(1+N339),"-")</f>
        <v>1321</v>
      </c>
    </row>
    <row r="340" spans="2:15">
      <c r="B340" s="306" t="s">
        <v>1184</v>
      </c>
      <c r="C340" s="15" t="s">
        <v>1185</v>
      </c>
      <c r="D340" s="1" t="s">
        <v>1186</v>
      </c>
      <c r="F340" s="437" t="s">
        <v>1053</v>
      </c>
      <c r="G340" s="438">
        <v>1</v>
      </c>
      <c r="H340" s="438"/>
      <c r="I340" s="473">
        <v>428</v>
      </c>
      <c r="J340" s="439">
        <f t="shared" si="25"/>
        <v>2.6193390452876376E-2</v>
      </c>
      <c r="K340" s="311">
        <v>1</v>
      </c>
      <c r="L340" s="308" t="s">
        <v>659</v>
      </c>
      <c r="M340" s="474">
        <v>428</v>
      </c>
      <c r="N340" s="314"/>
      <c r="O340" s="446">
        <f t="shared" si="22"/>
        <v>428</v>
      </c>
    </row>
    <row r="341" spans="2:15">
      <c r="B341" s="306" t="s">
        <v>1214</v>
      </c>
      <c r="C341" s="15" t="s">
        <v>1212</v>
      </c>
      <c r="D341" s="1" t="s">
        <v>1213</v>
      </c>
      <c r="F341" s="437" t="s">
        <v>1053</v>
      </c>
      <c r="G341" s="438">
        <v>1</v>
      </c>
      <c r="H341" s="438"/>
      <c r="I341" s="473">
        <v>1428</v>
      </c>
      <c r="J341" s="439">
        <f t="shared" si="25"/>
        <v>8.7392900856793146E-2</v>
      </c>
      <c r="K341" s="311">
        <v>1</v>
      </c>
      <c r="L341" s="308" t="s">
        <v>659</v>
      </c>
      <c r="M341" s="441">
        <f>IFERROR(J341/G341/K341,"-")</f>
        <v>8.7392900856793146E-2</v>
      </c>
      <c r="N341" s="314"/>
      <c r="O341" s="446">
        <f t="shared" si="22"/>
        <v>8.7392900856793146E-2</v>
      </c>
    </row>
    <row r="342" spans="2:15">
      <c r="B342" s="306" t="s">
        <v>1217</v>
      </c>
      <c r="C342" s="15" t="s">
        <v>1215</v>
      </c>
      <c r="D342" s="442" t="s">
        <v>1216</v>
      </c>
      <c r="F342" s="437" t="s">
        <v>1053</v>
      </c>
      <c r="G342" s="438">
        <v>1</v>
      </c>
      <c r="H342" s="438"/>
      <c r="I342" s="473">
        <v>300</v>
      </c>
      <c r="J342" s="439">
        <f t="shared" si="25"/>
        <v>1.8359853121175031E-2</v>
      </c>
      <c r="K342" s="311">
        <v>1</v>
      </c>
      <c r="L342" s="308" t="s">
        <v>659</v>
      </c>
      <c r="M342" s="441">
        <f>IFERROR(J342/G342/K342,"-")</f>
        <v>1.8359853121175031E-2</v>
      </c>
      <c r="N342" s="314"/>
      <c r="O342" s="446">
        <f t="shared" si="22"/>
        <v>1.8359853121175031E-2</v>
      </c>
    </row>
    <row r="343" spans="2:15">
      <c r="B343" s="306" t="s">
        <v>1239</v>
      </c>
      <c r="C343" s="15" t="s">
        <v>1218</v>
      </c>
      <c r="D343" s="442" t="s">
        <v>1219</v>
      </c>
      <c r="F343" s="437" t="s">
        <v>1053</v>
      </c>
      <c r="G343" s="438">
        <v>1</v>
      </c>
      <c r="H343" s="438"/>
      <c r="I343" s="473">
        <v>794</v>
      </c>
      <c r="J343" s="439">
        <f t="shared" si="25"/>
        <v>4.8592411260709914E-2</v>
      </c>
      <c r="K343" s="311">
        <v>1</v>
      </c>
      <c r="L343" s="308" t="s">
        <v>659</v>
      </c>
      <c r="M343" s="441">
        <f>IFERROR(J343/G343/K343,"-")</f>
        <v>4.8592411260709914E-2</v>
      </c>
      <c r="N343" s="314"/>
      <c r="O343" s="446">
        <f t="shared" si="22"/>
        <v>4.8592411260709914E-2</v>
      </c>
    </row>
    <row r="344" spans="2:15">
      <c r="B344" s="306" t="s">
        <v>1240</v>
      </c>
      <c r="C344" s="15" t="s">
        <v>1220</v>
      </c>
      <c r="D344" s="1" t="s">
        <v>1221</v>
      </c>
      <c r="F344" s="437" t="s">
        <v>1053</v>
      </c>
      <c r="G344" s="438">
        <v>1</v>
      </c>
      <c r="H344" s="438"/>
      <c r="I344" s="473">
        <v>221</v>
      </c>
      <c r="J344" s="439">
        <f t="shared" si="25"/>
        <v>1.3525091799265606E-2</v>
      </c>
      <c r="K344" s="311">
        <v>1</v>
      </c>
      <c r="L344" s="308" t="s">
        <v>659</v>
      </c>
      <c r="M344" s="441">
        <f>IFERROR(J344/G344/K344,"-")</f>
        <v>1.3525091799265606E-2</v>
      </c>
      <c r="N344" s="314"/>
      <c r="O344" s="446">
        <f t="shared" si="22"/>
        <v>1.3525091799265606E-2</v>
      </c>
    </row>
    <row r="345" spans="2:15">
      <c r="G345" s="443"/>
      <c r="H345" s="443"/>
      <c r="I345" s="444"/>
      <c r="K345" s="445"/>
      <c r="N345" s="445"/>
    </row>
  </sheetData>
  <mergeCells count="3">
    <mergeCell ref="B4:B5"/>
    <mergeCell ref="C4:E4"/>
    <mergeCell ref="F4:M4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980908-65A4-4D33-BB9C-ECE3AA99B2E0}">
  <sheetPr>
    <tabColor theme="3" tint="0.59999389629810485"/>
  </sheetPr>
  <dimension ref="A1:J73"/>
  <sheetViews>
    <sheetView showGridLines="0" topLeftCell="A10" workbookViewId="0">
      <selection activeCell="J18" sqref="J18:K18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9" max="9" width="9.398437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333" t="s">
        <v>1276</v>
      </c>
      <c r="C2" s="334"/>
      <c r="D2" s="333"/>
      <c r="E2" s="333"/>
      <c r="F2" s="335"/>
      <c r="G2" s="333"/>
      <c r="H2" s="333"/>
      <c r="I2" s="333"/>
      <c r="J2" s="336"/>
    </row>
    <row r="3" spans="1:10">
      <c r="A3" s="955" t="s">
        <v>572</v>
      </c>
      <c r="B3" s="958"/>
      <c r="C3" s="960"/>
      <c r="D3" s="960"/>
      <c r="E3" s="960"/>
      <c r="F3" s="960"/>
      <c r="G3" s="960"/>
      <c r="H3" s="960"/>
      <c r="I3" s="960"/>
      <c r="J3" s="961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631</v>
      </c>
      <c r="D14" s="130" t="str">
        <f>IFERROR(VLOOKUP(C14,MasterSheet!$B$6:$N$150,2,),"n/a")</f>
        <v>신선육 (1.3kg)</v>
      </c>
      <c r="E14" s="130" t="str">
        <f>IFERROR(VLOOKUP(C14,MasterSheet!$B$6:$N$150,3,),"n/a")</f>
        <v>Injected Whole Chicken (1.25kg)</v>
      </c>
      <c r="F14" s="176">
        <v>100</v>
      </c>
      <c r="G14" s="131" t="str">
        <f>IFERROR(VLOOKUP(C14,MasterSheet!B6:N150,10,),"N/a")</f>
        <v>g</v>
      </c>
      <c r="H14" s="323">
        <f>IFERROR(VLOOKUP(C14,MasterSheet!$B$6:$N$150,11,),"N/a")</f>
        <v>34.314223999999996</v>
      </c>
      <c r="I14" s="323">
        <f t="shared" ref="I14:I22" si="0">IFERROR(F14*H14,"-")</f>
        <v>3431.4223999999995</v>
      </c>
      <c r="J14" s="166"/>
    </row>
    <row r="15" spans="1:10" ht="16.5" customHeight="1">
      <c r="A15" s="967"/>
      <c r="B15" s="973"/>
      <c r="C15" s="175" t="s">
        <v>757</v>
      </c>
      <c r="D15" s="130" t="str">
        <f>IFERROR(VLOOKUP(C15,MasterSheet!$B$6:$N$150,2,),"n/a")</f>
        <v>올리브치킨용마리네이드</v>
      </c>
      <c r="E15" s="130" t="str">
        <f>IFERROR(VLOOKUP(C15,MasterSheet!$B$6:$N$150,3,),"n/a")</f>
        <v xml:space="preserve">Marinade Powder Mix </v>
      </c>
      <c r="F15" s="243">
        <f>F14*0.012</f>
        <v>1.2</v>
      </c>
      <c r="G15" s="131" t="str">
        <f>IFERROR(VLOOKUP(C15,MasterSheet!B7:N151,10,),"N/a")</f>
        <v>g</v>
      </c>
      <c r="H15" s="323">
        <f>IFERROR(VLOOKUP(C15,MasterSheet!$B$6:$N$150,11,),"N/a")</f>
        <v>117.51275510204081</v>
      </c>
      <c r="I15" s="323">
        <f t="shared" si="0"/>
        <v>141.01530612244898</v>
      </c>
      <c r="J15" s="167" t="s">
        <v>787</v>
      </c>
    </row>
    <row r="16" spans="1:10" ht="16.899999999999999">
      <c r="A16" s="967"/>
      <c r="B16" s="973"/>
      <c r="C16" s="175" t="s">
        <v>4</v>
      </c>
      <c r="D16" s="130" t="str">
        <f>IFERROR(VLOOKUP(C16,MasterSheet!$B$6:$N$150,2,),"n/a")</f>
        <v>올리브치킨용배터믹스</v>
      </c>
      <c r="E16" s="130" t="str">
        <f>IFERROR(VLOOKUP(C16,MasterSheet!$B$6:$N$150,3,),"n/a")</f>
        <v>Battering Powder Mix</v>
      </c>
      <c r="F16" s="243">
        <f>F14*0.175</f>
        <v>17.5</v>
      </c>
      <c r="G16" s="131" t="str">
        <f>IFERROR(VLOOKUP(C16,MasterSheet!B6:N152,10,),"N/a")</f>
        <v>g</v>
      </c>
      <c r="H16" s="323">
        <f>IFERROR(VLOOKUP(C16,MasterSheet!$B$6:$N$150,11,),"N/a")</f>
        <v>81.617647058823536</v>
      </c>
      <c r="I16" s="323">
        <f t="shared" si="0"/>
        <v>1428.3088235294119</v>
      </c>
      <c r="J16" s="167" t="s">
        <v>1094</v>
      </c>
    </row>
    <row r="17" spans="1:10" ht="16.899999999999999">
      <c r="A17" s="967"/>
      <c r="B17" s="973"/>
      <c r="C17" s="175" t="s">
        <v>999</v>
      </c>
      <c r="D17" s="130" t="str">
        <f>IFERROR(VLOOKUP(C17,MasterSheet!$B$6:$N$150,2,),"n/a")</f>
        <v>팜유</v>
      </c>
      <c r="E17" s="130" t="str">
        <f>IFERROR(VLOOKUP(C17,MasterSheet!$B$6:$N$150,3,),"n/a")</f>
        <v>Palm Oil</v>
      </c>
      <c r="F17" s="243">
        <f>F14*0.1</f>
        <v>10</v>
      </c>
      <c r="G17" s="131" t="str">
        <f>IFERROR(VLOOKUP(C17,MasterSheet!B9:N153,10,),"N/a")</f>
        <v>g</v>
      </c>
      <c r="H17" s="323">
        <f>IFERROR(VLOOKUP(C17,MasterSheet!$B$6:$N$150,11,),"N/a")</f>
        <v>25.580404040404041</v>
      </c>
      <c r="I17" s="323">
        <f t="shared" si="0"/>
        <v>255.80404040404039</v>
      </c>
      <c r="J17" s="167" t="s">
        <v>1290</v>
      </c>
    </row>
    <row r="18" spans="1:10" ht="16.899999999999999">
      <c r="A18" s="967"/>
      <c r="B18" s="973"/>
      <c r="C18" s="175" t="s">
        <v>725</v>
      </c>
      <c r="D18" s="130" t="str">
        <f>IFERROR(VLOOKUP(C18,MasterSheet!$B$6:$N$150,2,),"n/a")</f>
        <v>매운양념소스</v>
      </c>
      <c r="E18" s="130" t="str">
        <f>IFERROR(VLOOKUP(C18,MasterSheet!$B$6:$N$150,3,),"n/a")</f>
        <v>Hot Spicy Sauce</v>
      </c>
      <c r="F18" s="176">
        <f>F14*16%</f>
        <v>16</v>
      </c>
      <c r="G18" s="131" t="str">
        <f>IFERROR(VLOOKUP(C18,MasterSheet!B10:N154,10,),"N/a")</f>
        <v>g</v>
      </c>
      <c r="H18" s="323">
        <f>IFERROR(VLOOKUP(C18,MasterSheet!$B$6:$N$150,11,),"N/a")</f>
        <v>135.85937500000003</v>
      </c>
      <c r="I18" s="323">
        <f t="shared" si="0"/>
        <v>2173.7500000000005</v>
      </c>
      <c r="J18" s="167" t="s">
        <v>1291</v>
      </c>
    </row>
    <row r="19" spans="1:10" ht="28.5">
      <c r="A19" s="967"/>
      <c r="B19" s="974" t="s">
        <v>622</v>
      </c>
      <c r="C19" s="175" t="s">
        <v>567</v>
      </c>
      <c r="D19" s="140" t="str">
        <f>VLOOKUP(C19,CK!$B$8:$L$87,3,)</f>
        <v>올리브배터믹스솔루션</v>
      </c>
      <c r="E19" s="140" t="str">
        <f>VLOOKUP(C19,CK!$B$8:$L$87,4,)</f>
        <v>Battering Powder Mix Solution(White)</v>
      </c>
      <c r="F19" s="328">
        <f>F14*0.2</f>
        <v>20</v>
      </c>
      <c r="G19" s="141" t="str">
        <f>VLOOKUP(C19,CK!$B$8:$L$87,9,)</f>
        <v>g</v>
      </c>
      <c r="H19" s="324">
        <f>VLOOKUP(C19,CK!$B$8:$L$87,10,)</f>
        <v>30.23</v>
      </c>
      <c r="I19" s="324">
        <f t="shared" si="0"/>
        <v>604.6</v>
      </c>
      <c r="J19" s="170" t="s">
        <v>786</v>
      </c>
    </row>
    <row r="20" spans="1:10" ht="16.899999999999999">
      <c r="A20" s="967"/>
      <c r="B20" s="974"/>
      <c r="C20" s="175" t="s">
        <v>1175</v>
      </c>
      <c r="D20" s="140" t="str">
        <f>VLOOKUP(C20,CK!$B$8:$L$87,3,)</f>
        <v>매운양념 연유소스</v>
      </c>
      <c r="E20" s="140" t="str">
        <f>VLOOKUP(C20,CK!$B$8:$L$87,4,)</f>
        <v>Hot spicy milky sauce</v>
      </c>
      <c r="F20" s="328"/>
      <c r="G20" s="141" t="str">
        <f>VLOOKUP(C20,CK!$B$8:$L$87,9,)</f>
        <v>g</v>
      </c>
      <c r="H20" s="324">
        <f>VLOOKUP(C20,CK!$B$8:$L$87,10,)</f>
        <v>48.79349046015713</v>
      </c>
      <c r="I20" s="324">
        <f t="shared" si="0"/>
        <v>0</v>
      </c>
      <c r="J20" s="170" t="s">
        <v>786</v>
      </c>
    </row>
    <row r="21" spans="1:10" ht="16.899999999999999">
      <c r="A21" s="967"/>
      <c r="B21" s="975" t="s">
        <v>623</v>
      </c>
      <c r="C21" s="175" t="s">
        <v>1097</v>
      </c>
      <c r="D21" s="145" t="str">
        <f>IFERROR(VLOOKUP(C21,MasterSheet!$B$6:$N$342,2,),"n/a")</f>
        <v>콤보 패키지</v>
      </c>
      <c r="E21" s="145" t="str">
        <f>IFERROR(VLOOKUP(C21,MasterSheet!$B$6:$N$342,3,),"n/a")</f>
        <v>Combo Package</v>
      </c>
      <c r="F21" s="239">
        <v>1</v>
      </c>
      <c r="G21" s="147" t="str">
        <f>IFERROR(VLOOKUP(C21,MasterSheet!$B$6:$N$342,10,),"n/a")</f>
        <v>ea</v>
      </c>
      <c r="H21" s="322">
        <f>IFERROR(VLOOKUP(C21,MasterSheet!$B$6:$N$342,11,),"n/a")</f>
        <v>1204</v>
      </c>
      <c r="I21" s="322">
        <f t="shared" si="0"/>
        <v>1204</v>
      </c>
      <c r="J21" s="171"/>
    </row>
    <row r="22" spans="1:10" ht="28.5">
      <c r="A22" s="967"/>
      <c r="B22" s="976"/>
      <c r="C22" s="175" t="s">
        <v>1150</v>
      </c>
      <c r="D22" s="145" t="str">
        <f>IFERROR(VLOOKUP(C22,MasterSheet!$B$6:$N$342,2,),"n/a")</f>
        <v>유산지</v>
      </c>
      <c r="E22" s="145" t="str">
        <f>IFERROR(VLOOKUP(C22,MasterSheet!$B$6:$N$342,3,),"n/a")</f>
        <v>PARCHMENT PAPER / WRAPPING RICE</v>
      </c>
      <c r="F22" s="239">
        <v>1</v>
      </c>
      <c r="G22" s="147" t="str">
        <f>IFERROR(VLOOKUP(C22,MasterSheet!$B$6:$N$342,10,),"n/a")</f>
        <v>ea</v>
      </c>
      <c r="H22" s="322">
        <f>IFERROR(VLOOKUP(C22,MasterSheet!$B$6:$N$342,11,),"n/a")</f>
        <v>216.45</v>
      </c>
      <c r="I22" s="322">
        <f t="shared" si="0"/>
        <v>216.45</v>
      </c>
      <c r="J22" s="171"/>
    </row>
    <row r="23" spans="1:10" ht="16.899999999999999">
      <c r="A23" s="967"/>
      <c r="B23" s="976"/>
      <c r="C23" s="175"/>
      <c r="D23" s="149"/>
      <c r="E23" s="149"/>
      <c r="F23" s="176"/>
      <c r="G23" s="147"/>
      <c r="H23" s="325"/>
      <c r="I23" s="325"/>
      <c r="J23" s="171"/>
    </row>
    <row r="24" spans="1:10" ht="17.25" thickBot="1">
      <c r="A24" s="968"/>
      <c r="B24" s="977"/>
      <c r="C24" s="241"/>
      <c r="D24" s="155"/>
      <c r="E24" s="154"/>
      <c r="F24" s="242"/>
      <c r="G24" s="152"/>
      <c r="H24" s="342"/>
      <c r="I24" s="342"/>
      <c r="J24" s="172"/>
    </row>
    <row r="25" spans="1:10" ht="17.25" thickBot="1">
      <c r="A25" s="156"/>
      <c r="B25" s="157" t="s">
        <v>614</v>
      </c>
      <c r="C25" s="935" t="s">
        <v>624</v>
      </c>
      <c r="D25" s="935"/>
      <c r="E25" s="339">
        <f>SUM(I14:I20)</f>
        <v>8034.900570055901</v>
      </c>
      <c r="F25" s="936" t="s">
        <v>625</v>
      </c>
      <c r="G25" s="936"/>
      <c r="H25" s="936"/>
      <c r="I25" s="341">
        <f>SUM(I14:I24)</f>
        <v>9455.3505700559017</v>
      </c>
      <c r="J25" s="330" t="s">
        <v>790</v>
      </c>
    </row>
    <row r="26" spans="1:10" ht="17.25" thickBot="1">
      <c r="A26" s="156"/>
      <c r="B26" s="157"/>
      <c r="C26" s="158"/>
      <c r="D26" s="159"/>
      <c r="E26" s="159"/>
      <c r="F26" s="940" t="s">
        <v>789</v>
      </c>
      <c r="G26" s="940"/>
      <c r="H26" s="940"/>
      <c r="I26" s="237" t="e">
        <f>INDEX(COSTING!$D$1:$D$943,MATCH($B$2,COSTING!$C$1:$C$943,0))</f>
        <v>#N/A</v>
      </c>
      <c r="J26" s="331" t="str">
        <f>IFERROR((I25/I26),"-")</f>
        <v>-</v>
      </c>
    </row>
    <row r="27" spans="1:10" ht="16.149999999999999" thickBot="1">
      <c r="A27" s="70"/>
      <c r="B27" s="97"/>
      <c r="C27" s="97"/>
      <c r="D27" s="97"/>
      <c r="E27" s="97"/>
      <c r="F27" s="98"/>
      <c r="G27" s="97"/>
      <c r="H27" s="97"/>
      <c r="I27" s="97"/>
      <c r="J27" s="127" t="s">
        <v>605</v>
      </c>
    </row>
    <row r="28" spans="1:10" ht="19.149999999999999" hidden="1">
      <c r="A28" s="941" t="s">
        <v>576</v>
      </c>
      <c r="B28" s="942"/>
      <c r="C28" s="942"/>
      <c r="D28" s="942"/>
      <c r="E28" s="942"/>
      <c r="F28" s="942"/>
      <c r="G28" s="942"/>
      <c r="H28" s="942"/>
      <c r="I28" s="942"/>
      <c r="J28" s="943"/>
    </row>
    <row r="29" spans="1:10" ht="16.899999999999999" hidden="1">
      <c r="A29" s="944" t="s">
        <v>577</v>
      </c>
      <c r="B29" s="945"/>
      <c r="C29" s="945"/>
      <c r="D29" s="946"/>
      <c r="E29" s="947" t="s">
        <v>578</v>
      </c>
      <c r="F29" s="947"/>
      <c r="G29" s="947"/>
      <c r="H29" s="947"/>
      <c r="I29" s="947"/>
      <c r="J29" s="948"/>
    </row>
    <row r="30" spans="1:10" ht="16.899999999999999" hidden="1">
      <c r="A30" s="73"/>
      <c r="B30" s="74"/>
      <c r="C30" s="74"/>
      <c r="D30" s="75"/>
      <c r="E30" s="76" t="s">
        <v>579</v>
      </c>
      <c r="F30" s="76"/>
      <c r="G30" s="67"/>
      <c r="H30" s="67"/>
      <c r="I30" s="67"/>
      <c r="J30" s="77"/>
    </row>
    <row r="31" spans="1:10" ht="15.75" hidden="1">
      <c r="A31" s="78"/>
      <c r="B31" s="79"/>
      <c r="C31" s="79"/>
      <c r="D31" s="80"/>
      <c r="E31" s="81" t="s">
        <v>580</v>
      </c>
      <c r="F31" s="82"/>
      <c r="G31" s="82"/>
      <c r="H31" s="82"/>
      <c r="I31" s="82"/>
      <c r="J31" s="83"/>
    </row>
    <row r="32" spans="1:10" ht="15.75" hidden="1">
      <c r="A32" s="78"/>
      <c r="B32" s="79"/>
      <c r="C32" s="79"/>
      <c r="D32" s="80"/>
      <c r="E32" s="76"/>
      <c r="F32" s="84"/>
      <c r="G32" s="79"/>
      <c r="H32" s="79"/>
      <c r="I32" s="79"/>
      <c r="J32" s="83"/>
    </row>
    <row r="33" spans="1:10" ht="15.75" hidden="1">
      <c r="A33" s="78"/>
      <c r="B33" s="79"/>
      <c r="C33" s="79"/>
      <c r="D33" s="80"/>
      <c r="E33" s="76" t="s">
        <v>581</v>
      </c>
      <c r="F33" s="82"/>
      <c r="G33" s="82"/>
      <c r="H33" s="82"/>
      <c r="I33" s="82"/>
      <c r="J33" s="83"/>
    </row>
    <row r="34" spans="1:10" ht="15.75" hidden="1">
      <c r="A34" s="78"/>
      <c r="B34" s="79"/>
      <c r="C34" s="79"/>
      <c r="D34" s="80"/>
      <c r="E34" s="76" t="s">
        <v>582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 t="s">
        <v>583</v>
      </c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/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584</v>
      </c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 t="s">
        <v>585</v>
      </c>
      <c r="F38" s="84"/>
      <c r="G38" s="79"/>
      <c r="H38" s="79"/>
      <c r="I38" s="79"/>
      <c r="J38" s="83"/>
    </row>
    <row r="39" spans="1:10" ht="16.899999999999999" hidden="1">
      <c r="A39" s="937"/>
      <c r="B39" s="938"/>
      <c r="C39" s="938"/>
      <c r="D39" s="939"/>
      <c r="E39" s="76" t="s">
        <v>586</v>
      </c>
      <c r="F39" s="86"/>
      <c r="G39" s="79"/>
      <c r="H39" s="79"/>
      <c r="I39" s="79"/>
      <c r="J39" s="83"/>
    </row>
    <row r="40" spans="1:10" ht="16.899999999999999" hidden="1">
      <c r="A40" s="73"/>
      <c r="B40" s="74"/>
      <c r="C40" s="74"/>
      <c r="D40" s="85"/>
      <c r="E40" s="76" t="s">
        <v>587</v>
      </c>
      <c r="F40" s="86"/>
      <c r="G40" s="79"/>
      <c r="H40" s="79"/>
      <c r="I40" s="79"/>
      <c r="J40" s="83"/>
    </row>
    <row r="41" spans="1:10" ht="16.899999999999999" hidden="1">
      <c r="A41" s="937"/>
      <c r="B41" s="938"/>
      <c r="C41" s="938"/>
      <c r="D41" s="939"/>
      <c r="E41" s="76" t="s">
        <v>588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589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76" t="s">
        <v>590</v>
      </c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88"/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76" t="s">
        <v>591</v>
      </c>
      <c r="F45" s="84"/>
      <c r="G45" s="79"/>
      <c r="H45" s="79"/>
      <c r="I45" s="79"/>
      <c r="J45" s="87"/>
    </row>
    <row r="46" spans="1:10" ht="16.899999999999999" hidden="1">
      <c r="A46" s="78"/>
      <c r="B46" s="79"/>
      <c r="C46" s="79"/>
      <c r="D46" s="80"/>
      <c r="E46" s="76" t="s">
        <v>592</v>
      </c>
      <c r="F46" s="84"/>
      <c r="G46" s="79"/>
      <c r="H46" s="79"/>
      <c r="I46" s="79"/>
      <c r="J46" s="87"/>
    </row>
    <row r="47" spans="1:10" hidden="1">
      <c r="A47" s="78"/>
      <c r="B47" s="79"/>
      <c r="C47" s="79"/>
      <c r="D47" s="80"/>
      <c r="E47" s="69"/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593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594</v>
      </c>
      <c r="F49" s="84"/>
      <c r="G49" s="79"/>
      <c r="H49" s="79"/>
      <c r="I49" s="79"/>
      <c r="J49" s="83"/>
    </row>
    <row r="50" spans="1:10" ht="15.75" hidden="1">
      <c r="A50" s="78"/>
      <c r="B50" s="79"/>
      <c r="C50" s="79"/>
      <c r="D50" s="80"/>
      <c r="E50" s="76" t="s">
        <v>595</v>
      </c>
      <c r="F50" s="88"/>
      <c r="G50" s="88"/>
      <c r="H50" s="88"/>
      <c r="I50" s="88"/>
      <c r="J50" s="83"/>
    </row>
    <row r="51" spans="1:10" ht="15.75" hidden="1">
      <c r="A51" s="78"/>
      <c r="B51" s="79"/>
      <c r="C51" s="79"/>
      <c r="D51" s="80"/>
      <c r="E51" s="76" t="s">
        <v>596</v>
      </c>
      <c r="F51" s="88"/>
      <c r="G51" s="88"/>
      <c r="H51" s="88"/>
      <c r="I51" s="88"/>
      <c r="J51" s="83"/>
    </row>
    <row r="52" spans="1:10" ht="16.899999999999999" hidden="1">
      <c r="A52" s="937"/>
      <c r="B52" s="938"/>
      <c r="C52" s="938"/>
      <c r="D52" s="939"/>
      <c r="E52" s="76" t="s">
        <v>597</v>
      </c>
      <c r="F52" s="89"/>
      <c r="G52" s="89"/>
      <c r="H52" s="89"/>
      <c r="I52" s="89"/>
      <c r="J52" s="83"/>
    </row>
    <row r="53" spans="1:10" ht="16.899999999999999" hidden="1">
      <c r="A53" s="73"/>
      <c r="B53" s="74"/>
      <c r="C53" s="74"/>
      <c r="D53" s="85"/>
      <c r="E53" s="76" t="s">
        <v>598</v>
      </c>
      <c r="F53" s="89"/>
      <c r="G53" s="89"/>
      <c r="H53" s="89"/>
      <c r="I53" s="89"/>
      <c r="J53" s="83"/>
    </row>
    <row r="54" spans="1:10" ht="16.899999999999999" hidden="1">
      <c r="A54" s="937"/>
      <c r="B54" s="938"/>
      <c r="C54" s="938"/>
      <c r="D54" s="939"/>
      <c r="E54" s="69"/>
      <c r="F54" s="89"/>
      <c r="G54" s="89"/>
      <c r="H54" s="89"/>
      <c r="I54" s="89"/>
      <c r="J54" s="83"/>
    </row>
    <row r="55" spans="1:10" ht="15.75" hidden="1">
      <c r="A55" s="78"/>
      <c r="B55" s="79"/>
      <c r="C55" s="79"/>
      <c r="D55" s="80"/>
      <c r="E55" s="69"/>
      <c r="F55" s="88"/>
      <c r="G55" s="88"/>
      <c r="H55" s="88"/>
      <c r="I55" s="88"/>
      <c r="J55" s="83"/>
    </row>
    <row r="56" spans="1:10" ht="16.149999999999999" hidden="1" thickBot="1">
      <c r="A56" s="90"/>
      <c r="B56" s="91"/>
      <c r="C56" s="91"/>
      <c r="D56" s="92"/>
      <c r="E56" s="93"/>
      <c r="F56" s="94"/>
      <c r="G56" s="94"/>
      <c r="H56" s="94"/>
      <c r="I56" s="94"/>
      <c r="J56" s="95"/>
    </row>
    <row r="57" spans="1:10" ht="16.149999999999999" hidden="1" thickBot="1">
      <c r="A57" s="70"/>
      <c r="B57" s="71"/>
      <c r="C57" s="71"/>
      <c r="D57" s="71"/>
      <c r="E57" s="71"/>
      <c r="F57" s="72"/>
      <c r="G57" s="71"/>
      <c r="H57" s="71"/>
      <c r="I57" s="71"/>
      <c r="J57" s="126" t="s">
        <v>605</v>
      </c>
    </row>
    <row r="58" spans="1:10" ht="19.149999999999999" hidden="1">
      <c r="A58" s="949" t="s">
        <v>576</v>
      </c>
      <c r="B58" s="950"/>
      <c r="C58" s="950"/>
      <c r="D58" s="950"/>
      <c r="E58" s="950"/>
      <c r="F58" s="950"/>
      <c r="G58" s="950"/>
      <c r="H58" s="950"/>
      <c r="I58" s="950"/>
      <c r="J58" s="951"/>
    </row>
    <row r="59" spans="1:10" ht="16.899999999999999" hidden="1">
      <c r="A59" s="944" t="s">
        <v>577</v>
      </c>
      <c r="B59" s="945"/>
      <c r="C59" s="945"/>
      <c r="D59" s="946"/>
      <c r="E59" s="945" t="s">
        <v>578</v>
      </c>
      <c r="F59" s="945"/>
      <c r="G59" s="945"/>
      <c r="H59" s="945"/>
      <c r="I59" s="945"/>
      <c r="J59" s="952"/>
    </row>
    <row r="60" spans="1:10" ht="16.899999999999999" hidden="1">
      <c r="A60" s="73"/>
      <c r="B60" s="74"/>
      <c r="C60" s="74"/>
      <c r="D60" s="75"/>
      <c r="E60" s="76" t="s">
        <v>599</v>
      </c>
      <c r="F60" s="76"/>
      <c r="G60" s="76"/>
      <c r="H60" s="67"/>
      <c r="I60" s="67"/>
      <c r="J60" s="77"/>
    </row>
    <row r="61" spans="1:10" ht="15.75" hidden="1">
      <c r="A61" s="78"/>
      <c r="B61" s="79"/>
      <c r="C61" s="79"/>
      <c r="D61" s="80"/>
      <c r="E61" s="76" t="s">
        <v>600</v>
      </c>
      <c r="F61" s="82"/>
      <c r="G61" s="82"/>
      <c r="H61" s="82"/>
      <c r="I61" s="82"/>
      <c r="J61" s="83"/>
    </row>
    <row r="62" spans="1:10" ht="15.75" hidden="1">
      <c r="A62" s="78"/>
      <c r="B62" s="79"/>
      <c r="C62" s="79"/>
      <c r="D62" s="80"/>
      <c r="E62" s="76" t="s">
        <v>601</v>
      </c>
      <c r="F62" s="84"/>
      <c r="G62" s="79"/>
      <c r="H62" s="79"/>
      <c r="I62" s="79"/>
      <c r="J62" s="83"/>
    </row>
    <row r="63" spans="1:10" ht="15.75" hidden="1">
      <c r="A63" s="78"/>
      <c r="B63" s="79"/>
      <c r="C63" s="79"/>
      <c r="D63" s="80"/>
      <c r="E63" s="76" t="s">
        <v>602</v>
      </c>
      <c r="F63" s="82"/>
      <c r="G63" s="82"/>
      <c r="H63" s="82"/>
      <c r="I63" s="82"/>
      <c r="J63" s="83"/>
    </row>
    <row r="64" spans="1:10" ht="15.75" hidden="1">
      <c r="A64" s="78"/>
      <c r="B64" s="79"/>
      <c r="C64" s="79"/>
      <c r="D64" s="80"/>
      <c r="E64" s="76" t="s">
        <v>603</v>
      </c>
      <c r="F64" s="84"/>
      <c r="G64" s="79"/>
      <c r="H64" s="79"/>
      <c r="I64" s="79"/>
      <c r="J64" s="83"/>
    </row>
    <row r="65" spans="1:10" hidden="1">
      <c r="A65" s="78"/>
      <c r="B65" s="79"/>
      <c r="C65" s="79"/>
      <c r="D65" s="80"/>
      <c r="E65" s="69"/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 t="s">
        <v>604</v>
      </c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5.75" hidden="1">
      <c r="A68" s="78"/>
      <c r="B68" s="79"/>
      <c r="C68" s="79"/>
      <c r="D68" s="80"/>
      <c r="E68" s="76"/>
      <c r="F68" s="84"/>
      <c r="G68" s="79"/>
      <c r="H68" s="79"/>
      <c r="I68" s="79"/>
      <c r="J68" s="83"/>
    </row>
    <row r="69" spans="1:10" ht="16.899999999999999" hidden="1">
      <c r="A69" s="937"/>
      <c r="B69" s="938"/>
      <c r="C69" s="938"/>
      <c r="D69" s="939"/>
      <c r="E69" s="76"/>
      <c r="F69" s="89"/>
      <c r="G69" s="89"/>
      <c r="H69" s="89"/>
      <c r="I69" s="89"/>
      <c r="J69" s="83"/>
    </row>
    <row r="70" spans="1:10" ht="16.899999999999999" hidden="1">
      <c r="A70" s="73"/>
      <c r="B70" s="74"/>
      <c r="C70" s="74"/>
      <c r="D70" s="85"/>
      <c r="E70" s="96"/>
      <c r="F70" s="89"/>
      <c r="G70" s="89"/>
      <c r="H70" s="89"/>
      <c r="I70" s="89"/>
      <c r="J70" s="83"/>
    </row>
    <row r="71" spans="1:10" ht="15.75" hidden="1">
      <c r="A71" s="78"/>
      <c r="B71" s="79"/>
      <c r="C71" s="79"/>
      <c r="D71" s="80"/>
      <c r="E71" s="69"/>
      <c r="F71" s="88"/>
      <c r="G71" s="88"/>
      <c r="H71" s="88"/>
      <c r="I71" s="88"/>
      <c r="J71" s="83"/>
    </row>
    <row r="72" spans="1:10" ht="16.149999999999999" hidden="1" thickBot="1">
      <c r="A72" s="90"/>
      <c r="B72" s="91"/>
      <c r="C72" s="91"/>
      <c r="D72" s="92"/>
      <c r="E72" s="93"/>
      <c r="F72" s="94"/>
      <c r="G72" s="94"/>
      <c r="H72" s="94"/>
      <c r="I72" s="94"/>
      <c r="J72" s="95"/>
    </row>
    <row r="73" spans="1:10" ht="16.149999999999999" hidden="1" thickBot="1">
      <c r="A73" s="70"/>
      <c r="B73" s="71"/>
      <c r="C73" s="71"/>
      <c r="D73" s="71"/>
      <c r="E73" s="71"/>
      <c r="F73" s="72"/>
      <c r="G73" s="71"/>
      <c r="H73" s="71"/>
      <c r="I73" s="71"/>
      <c r="J73" s="126" t="s">
        <v>605</v>
      </c>
    </row>
  </sheetData>
  <mergeCells count="29">
    <mergeCell ref="A1:J1"/>
    <mergeCell ref="A3:A11"/>
    <mergeCell ref="B3:J11"/>
    <mergeCell ref="A12:A24"/>
    <mergeCell ref="B12:B13"/>
    <mergeCell ref="C12:C13"/>
    <mergeCell ref="D12:E12"/>
    <mergeCell ref="F12:F13"/>
    <mergeCell ref="G12:G13"/>
    <mergeCell ref="H12:H13"/>
    <mergeCell ref="I12:I13"/>
    <mergeCell ref="J12:J13"/>
    <mergeCell ref="B14:B18"/>
    <mergeCell ref="B19:B20"/>
    <mergeCell ref="B21:B24"/>
    <mergeCell ref="C25:D25"/>
    <mergeCell ref="F25:H25"/>
    <mergeCell ref="A69:D69"/>
    <mergeCell ref="F26:H26"/>
    <mergeCell ref="A28:J28"/>
    <mergeCell ref="A29:D29"/>
    <mergeCell ref="E29:J29"/>
    <mergeCell ref="A39:D39"/>
    <mergeCell ref="A41:D41"/>
    <mergeCell ref="A52:D52"/>
    <mergeCell ref="A54:D54"/>
    <mergeCell ref="A58:J58"/>
    <mergeCell ref="A59:D59"/>
    <mergeCell ref="E59:J59"/>
  </mergeCells>
  <phoneticPr fontId="2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0AAE07-6BD2-4633-BAAD-097C43D968C7}">
  <sheetPr>
    <tabColor theme="3" tint="0.59999389629810485"/>
  </sheetPr>
  <dimension ref="A1:J73"/>
  <sheetViews>
    <sheetView showGridLines="0" topLeftCell="A3" workbookViewId="0">
      <selection activeCell="J18" sqref="J18:K18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162" t="s">
        <v>655</v>
      </c>
      <c r="B2" s="333" t="s">
        <v>1276</v>
      </c>
      <c r="C2" s="329"/>
      <c r="D2" s="163"/>
      <c r="E2" s="163"/>
      <c r="F2" s="164"/>
      <c r="G2" s="163"/>
      <c r="H2" s="163"/>
      <c r="I2" s="163"/>
      <c r="J2" s="165"/>
    </row>
    <row r="3" spans="1:10">
      <c r="A3" s="955" t="s">
        <v>572</v>
      </c>
      <c r="B3" s="958"/>
      <c r="C3" s="960"/>
      <c r="D3" s="960"/>
      <c r="E3" s="960"/>
      <c r="F3" s="960"/>
      <c r="G3" s="960"/>
      <c r="H3" s="960"/>
      <c r="I3" s="960"/>
      <c r="J3" s="961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 t="s">
        <v>621</v>
      </c>
      <c r="C14" s="175" t="s">
        <v>631</v>
      </c>
      <c r="D14" s="136" t="str">
        <f>IFERROR(VLOOKUP(C14,MasterSheet!$B$6:$N$150,2,),"n/a")</f>
        <v>신선육 (1.3kg)</v>
      </c>
      <c r="E14" s="136" t="str">
        <f>IFERROR(VLOOKUP(C14,MasterSheet!$B$6:$N$150,3,),"n/a")</f>
        <v>Injected Whole Chicken (1.25kg)</v>
      </c>
      <c r="F14" s="321">
        <v>100</v>
      </c>
      <c r="G14" s="131" t="str">
        <f>IFERROR(VLOOKUP($C$15,MasterSheet!$B$6:$N$150,10,),"n/a")</f>
        <v>g</v>
      </c>
      <c r="H14" s="323">
        <f>IFERROR(VLOOKUP(C14,MasterSheet!$B$6:$N$150,11,),"N/a")</f>
        <v>34.314223999999996</v>
      </c>
      <c r="I14" s="323">
        <f>IFERROR(F14*H14,"-")</f>
        <v>3431.4223999999995</v>
      </c>
      <c r="J14" s="167"/>
    </row>
    <row r="15" spans="1:10" ht="16.899999999999999">
      <c r="A15" s="967"/>
      <c r="B15" s="973"/>
      <c r="C15" s="175" t="s">
        <v>999</v>
      </c>
      <c r="D15" s="136" t="str">
        <f>IFERROR(VLOOKUP(C15,MasterSheet!$B$6:$N$150,2,),"n/a")</f>
        <v>팜유</v>
      </c>
      <c r="E15" s="136" t="str">
        <f>IFERROR(VLOOKUP(C15,MasterSheet!$B$6:$N$150,3,),"n/a")</f>
        <v>Palm Oil</v>
      </c>
      <c r="F15" s="239">
        <f>F14*0.1</f>
        <v>10</v>
      </c>
      <c r="G15" s="131" t="str">
        <f>IFERROR(VLOOKUP(C15,MasterSheet!$B$6:$N$150,10,),"n/a")</f>
        <v>g</v>
      </c>
      <c r="H15" s="323">
        <f>IFERROR(VLOOKUP(C15,MasterSheet!$B$6:$N$150,11,),"n/a")</f>
        <v>25.580404040404041</v>
      </c>
      <c r="I15" s="323">
        <f>IFERROR(F15*H15,"-")</f>
        <v>255.80404040404039</v>
      </c>
      <c r="J15" s="168" t="s">
        <v>1290</v>
      </c>
    </row>
    <row r="16" spans="1:10" ht="16.899999999999999">
      <c r="A16" s="967"/>
      <c r="B16" s="973"/>
      <c r="C16" s="175" t="s">
        <v>909</v>
      </c>
      <c r="D16" s="136" t="str">
        <f>IFERROR(VLOOKUP(C16,MasterSheet!$B$6:$N$150,2,),"n/a")</f>
        <v>치즈맛시즈닝</v>
      </c>
      <c r="E16" s="136" t="str">
        <f>IFERROR(VLOOKUP(C16,MasterSheet!$B$6:$N$150,3,),"n/a")</f>
        <v xml:space="preserve">Cheese Taste Seasoning Mix </v>
      </c>
      <c r="F16" s="239">
        <f>F14*4%</f>
        <v>4</v>
      </c>
      <c r="G16" s="131" t="str">
        <f>IFERROR(VLOOKUP(C16,MasterSheet!$B$6:$N$150,10,),"n/a")</f>
        <v>g</v>
      </c>
      <c r="H16" s="323">
        <f>IFERROR(VLOOKUP(C16,MasterSheet!$B$6:$N$150,11,),"n/a")</f>
        <v>294.48979591836735</v>
      </c>
      <c r="I16" s="323">
        <f>IFERROR(F16*H16,"-")</f>
        <v>1177.9591836734694</v>
      </c>
      <c r="J16" s="168" t="s">
        <v>1101</v>
      </c>
    </row>
    <row r="17" spans="1:10" ht="16.899999999999999">
      <c r="A17" s="967"/>
      <c r="B17" s="973"/>
      <c r="C17" s="175" t="s">
        <v>804</v>
      </c>
      <c r="D17" s="136" t="str">
        <f>IFERROR(VLOOKUP(C17,MasterSheet!$B$6:$N$150,2,),"n/a")</f>
        <v>레몬</v>
      </c>
      <c r="E17" s="136" t="str">
        <f>IFERROR(VLOOKUP(C17,MasterSheet!$B$6:$N$150,3,),"n/a")</f>
        <v>Lemon</v>
      </c>
      <c r="F17" s="252">
        <v>0.05</v>
      </c>
      <c r="G17" s="131" t="str">
        <f>IFERROR(VLOOKUP(C17,MasterSheet!$B$6:$N$150,10,),"n/a")</f>
        <v>ea</v>
      </c>
      <c r="H17" s="323">
        <f>IFERROR(VLOOKUP(C17,MasterSheet!$B$6:$N$150,11,),"n/a")</f>
        <v>35.714285714285715</v>
      </c>
      <c r="I17" s="323">
        <f>IFERROR(F17*H17,"-")</f>
        <v>1.7857142857142858</v>
      </c>
      <c r="J17" s="167"/>
    </row>
    <row r="18" spans="1:10" ht="28.5">
      <c r="A18" s="967"/>
      <c r="B18" s="974" t="s">
        <v>622</v>
      </c>
      <c r="C18" s="175" t="s">
        <v>568</v>
      </c>
      <c r="D18" s="140" t="str">
        <f>VLOOKUP(C18,CK!$B$8:$L$87,3,)</f>
        <v>허니갈릭배터믹스솔루션</v>
      </c>
      <c r="E18" s="140" t="str">
        <f>VLOOKUP(C18,CK!$B$8:$L$87,4,)</f>
        <v>Battering Powder Mix C Solution(Yellow)</v>
      </c>
      <c r="F18" s="239">
        <f>F14*0.2</f>
        <v>20</v>
      </c>
      <c r="G18" s="141" t="str">
        <f>VLOOKUP(C18,CK!$B$8:$L$87,9,)</f>
        <v>g</v>
      </c>
      <c r="H18" s="324">
        <f>VLOOKUP(C18,CK!$B$8:$L$87,10,)</f>
        <v>23.80952380952381</v>
      </c>
      <c r="I18" s="324">
        <f>IFERROR(F18*H18,"-")</f>
        <v>476.1904761904762</v>
      </c>
      <c r="J18" s="170" t="s">
        <v>1096</v>
      </c>
    </row>
    <row r="19" spans="1:10" ht="16.899999999999999">
      <c r="A19" s="967"/>
      <c r="B19" s="974"/>
      <c r="C19" s="175" t="s">
        <v>1102</v>
      </c>
      <c r="D19" s="140" t="str">
        <f>VLOOKUP(C19,CK!$B$8:$L$283,3,)</f>
        <v>레몬시럽</v>
      </c>
      <c r="E19" s="140" t="str">
        <f>VLOOKUP(C19,CK!$B$8:$L$283,4,)</f>
        <v>Lemon Syrup</v>
      </c>
      <c r="F19" s="239">
        <v>10</v>
      </c>
      <c r="G19" s="141" t="str">
        <f>VLOOKUP(C19,CK!$B$8:$L$283,9,)</f>
        <v>g</v>
      </c>
      <c r="H19" s="324">
        <f>VLOOKUP(C19,CK!$B$8:$L$283,10,)</f>
        <v>36.06</v>
      </c>
      <c r="I19" s="324">
        <f>F19*H19</f>
        <v>360.6</v>
      </c>
      <c r="J19" s="170"/>
    </row>
    <row r="20" spans="1:10" ht="16.899999999999999">
      <c r="A20" s="967"/>
      <c r="B20" s="974"/>
      <c r="C20" s="175"/>
      <c r="D20" s="140"/>
      <c r="E20" s="140"/>
      <c r="F20" s="239"/>
      <c r="G20" s="141"/>
      <c r="H20" s="324"/>
      <c r="I20" s="324"/>
      <c r="J20" s="170"/>
    </row>
    <row r="21" spans="1:10" ht="16.899999999999999">
      <c r="A21" s="967"/>
      <c r="B21" s="975" t="s">
        <v>623</v>
      </c>
      <c r="C21" s="175" t="s">
        <v>1097</v>
      </c>
      <c r="D21" s="145" t="str">
        <f>IFERROR(VLOOKUP(C21,MasterSheet!$B$6:$N$342,2,),"n/a")</f>
        <v>콤보 패키지</v>
      </c>
      <c r="E21" s="145" t="str">
        <f>IFERROR(VLOOKUP(C21,MasterSheet!$B$6:$N$342,3,),"n/a")</f>
        <v>Combo Package</v>
      </c>
      <c r="F21" s="239">
        <v>1</v>
      </c>
      <c r="G21" s="147" t="str">
        <f>IFERROR(VLOOKUP(C21,MasterSheet!$B$6:$N$342,10,),"n/a")</f>
        <v>ea</v>
      </c>
      <c r="H21" s="322">
        <f>IFERROR(VLOOKUP(C21,MasterSheet!$B$6:$N$342,11,),"n/a")</f>
        <v>1204</v>
      </c>
      <c r="I21" s="322">
        <f>IFERROR(F21*H21,"-")</f>
        <v>1204</v>
      </c>
      <c r="J21" s="171"/>
    </row>
    <row r="22" spans="1:10" ht="28.5">
      <c r="A22" s="967"/>
      <c r="B22" s="976"/>
      <c r="C22" s="175" t="s">
        <v>1150</v>
      </c>
      <c r="D22" s="145" t="str">
        <f>IFERROR(VLOOKUP(C22,MasterSheet!$B$6:$N$342,2,),"n/a")</f>
        <v>유산지</v>
      </c>
      <c r="E22" s="145" t="str">
        <f>IFERROR(VLOOKUP(C22,MasterSheet!$B$6:$N$342,3,),"n/a")</f>
        <v>PARCHMENT PAPER / WRAPPING RICE</v>
      </c>
      <c r="F22" s="239">
        <v>1</v>
      </c>
      <c r="G22" s="147" t="str">
        <f>IFERROR(VLOOKUP(C22,MasterSheet!$B$6:$N$342,10,),"n/a")</f>
        <v>ea</v>
      </c>
      <c r="H22" s="322">
        <f>IFERROR(VLOOKUP(C22,MasterSheet!$B$6:$N$342,11,),"n/a")</f>
        <v>216.45</v>
      </c>
      <c r="I22" s="322">
        <f>IFERROR(F22*H22,"-")</f>
        <v>216.45</v>
      </c>
      <c r="J22" s="171"/>
    </row>
    <row r="23" spans="1:10" ht="16.899999999999999">
      <c r="A23" s="967"/>
      <c r="B23" s="976"/>
      <c r="C23" s="175"/>
      <c r="D23" s="149"/>
      <c r="E23" s="149"/>
      <c r="F23" s="239"/>
      <c r="G23" s="147"/>
      <c r="H23" s="325"/>
      <c r="I23" s="325"/>
      <c r="J23" s="171"/>
    </row>
    <row r="24" spans="1:10" ht="17.25" thickBot="1">
      <c r="A24" s="968"/>
      <c r="B24" s="977"/>
      <c r="C24" s="241"/>
      <c r="D24" s="155"/>
      <c r="E24" s="154"/>
      <c r="F24" s="244"/>
      <c r="G24" s="152"/>
      <c r="H24" s="342"/>
      <c r="I24" s="342"/>
      <c r="J24" s="172"/>
    </row>
    <row r="25" spans="1:10" ht="17.25" thickBot="1">
      <c r="A25" s="156"/>
      <c r="B25" s="157" t="s">
        <v>614</v>
      </c>
      <c r="C25" s="935" t="s">
        <v>624</v>
      </c>
      <c r="D25" s="935"/>
      <c r="E25" s="339">
        <f>SUM(I14:I20)</f>
        <v>5703.7618145536999</v>
      </c>
      <c r="F25" s="936" t="s">
        <v>625</v>
      </c>
      <c r="G25" s="936"/>
      <c r="H25" s="936"/>
      <c r="I25" s="341">
        <f>SUM(I14:I24)</f>
        <v>7124.2118145536997</v>
      </c>
      <c r="J25" s="330" t="s">
        <v>790</v>
      </c>
    </row>
    <row r="26" spans="1:10" ht="17.25" thickBot="1">
      <c r="A26" s="156"/>
      <c r="B26" s="157"/>
      <c r="C26" s="158"/>
      <c r="D26" s="159"/>
      <c r="E26" s="159"/>
      <c r="F26" s="940" t="s">
        <v>789</v>
      </c>
      <c r="G26" s="940"/>
      <c r="H26" s="940"/>
      <c r="I26" s="237" t="e">
        <f>INDEX(COSTING!$D$1:$D$943,MATCH($B$2,COSTING!$C$1:$C$943,0))</f>
        <v>#N/A</v>
      </c>
      <c r="J26" s="331" t="str">
        <f>IFERROR((I25/I26),"-")</f>
        <v>-</v>
      </c>
    </row>
    <row r="27" spans="1:10" ht="16.149999999999999" thickBot="1">
      <c r="A27" s="70"/>
      <c r="B27" s="97"/>
      <c r="C27" s="97"/>
      <c r="D27" s="97"/>
      <c r="E27" s="97"/>
      <c r="F27" s="98"/>
      <c r="G27" s="97"/>
      <c r="H27" s="97"/>
      <c r="I27" s="97"/>
      <c r="J27" s="127" t="s">
        <v>605</v>
      </c>
    </row>
    <row r="28" spans="1:10" ht="19.149999999999999" hidden="1">
      <c r="A28" s="941" t="s">
        <v>576</v>
      </c>
      <c r="B28" s="942"/>
      <c r="C28" s="942"/>
      <c r="D28" s="942"/>
      <c r="E28" s="942"/>
      <c r="F28" s="942"/>
      <c r="G28" s="942"/>
      <c r="H28" s="942"/>
      <c r="I28" s="942"/>
      <c r="J28" s="943"/>
    </row>
    <row r="29" spans="1:10" ht="16.899999999999999" hidden="1">
      <c r="A29" s="944" t="s">
        <v>577</v>
      </c>
      <c r="B29" s="945"/>
      <c r="C29" s="945"/>
      <c r="D29" s="946"/>
      <c r="E29" s="947" t="s">
        <v>578</v>
      </c>
      <c r="F29" s="947"/>
      <c r="G29" s="947"/>
      <c r="H29" s="947"/>
      <c r="I29" s="947"/>
      <c r="J29" s="948"/>
    </row>
    <row r="30" spans="1:10" ht="16.899999999999999" hidden="1">
      <c r="A30" s="73"/>
      <c r="B30" s="74"/>
      <c r="C30" s="74"/>
      <c r="D30" s="75"/>
      <c r="E30" s="76" t="s">
        <v>579</v>
      </c>
      <c r="F30" s="76"/>
      <c r="G30" s="67"/>
      <c r="H30" s="67"/>
      <c r="I30" s="67"/>
      <c r="J30" s="77"/>
    </row>
    <row r="31" spans="1:10" ht="15.75" hidden="1">
      <c r="A31" s="78"/>
      <c r="B31" s="79"/>
      <c r="C31" s="79"/>
      <c r="D31" s="80"/>
      <c r="E31" s="81" t="s">
        <v>580</v>
      </c>
      <c r="F31" s="82"/>
      <c r="G31" s="82"/>
      <c r="H31" s="82"/>
      <c r="I31" s="82"/>
      <c r="J31" s="83"/>
    </row>
    <row r="32" spans="1:10" ht="15.75" hidden="1">
      <c r="A32" s="78"/>
      <c r="B32" s="79"/>
      <c r="C32" s="79"/>
      <c r="D32" s="80"/>
      <c r="E32" s="76"/>
      <c r="F32" s="84"/>
      <c r="G32" s="79"/>
      <c r="H32" s="79"/>
      <c r="I32" s="79"/>
      <c r="J32" s="83"/>
    </row>
    <row r="33" spans="1:10" ht="15.75" hidden="1">
      <c r="A33" s="78"/>
      <c r="B33" s="79"/>
      <c r="C33" s="79"/>
      <c r="D33" s="80"/>
      <c r="E33" s="76" t="s">
        <v>581</v>
      </c>
      <c r="F33" s="82"/>
      <c r="G33" s="82"/>
      <c r="H33" s="82"/>
      <c r="I33" s="82"/>
      <c r="J33" s="83"/>
    </row>
    <row r="34" spans="1:10" ht="15.75" hidden="1">
      <c r="A34" s="78"/>
      <c r="B34" s="79"/>
      <c r="C34" s="79"/>
      <c r="D34" s="80"/>
      <c r="E34" s="76" t="s">
        <v>582</v>
      </c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 t="s">
        <v>583</v>
      </c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/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584</v>
      </c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 t="s">
        <v>585</v>
      </c>
      <c r="F38" s="84"/>
      <c r="G38" s="79"/>
      <c r="H38" s="79"/>
      <c r="I38" s="79"/>
      <c r="J38" s="83"/>
    </row>
    <row r="39" spans="1:10" ht="16.899999999999999" hidden="1">
      <c r="A39" s="937"/>
      <c r="B39" s="938"/>
      <c r="C39" s="938"/>
      <c r="D39" s="939"/>
      <c r="E39" s="76" t="s">
        <v>586</v>
      </c>
      <c r="F39" s="86"/>
      <c r="G39" s="79"/>
      <c r="H39" s="79"/>
      <c r="I39" s="79"/>
      <c r="J39" s="83"/>
    </row>
    <row r="40" spans="1:10" ht="16.899999999999999" hidden="1">
      <c r="A40" s="73"/>
      <c r="B40" s="74"/>
      <c r="C40" s="74"/>
      <c r="D40" s="85"/>
      <c r="E40" s="76" t="s">
        <v>587</v>
      </c>
      <c r="F40" s="86"/>
      <c r="G40" s="79"/>
      <c r="H40" s="79"/>
      <c r="I40" s="79"/>
      <c r="J40" s="83"/>
    </row>
    <row r="41" spans="1:10" ht="16.899999999999999" hidden="1">
      <c r="A41" s="937"/>
      <c r="B41" s="938"/>
      <c r="C41" s="938"/>
      <c r="D41" s="939"/>
      <c r="E41" s="76" t="s">
        <v>588</v>
      </c>
      <c r="F41" s="84"/>
      <c r="G41" s="79"/>
      <c r="H41" s="79"/>
      <c r="I41" s="79"/>
      <c r="J41" s="87"/>
    </row>
    <row r="42" spans="1:10" ht="16.899999999999999" hidden="1">
      <c r="A42" s="73"/>
      <c r="B42" s="74"/>
      <c r="C42" s="74"/>
      <c r="D42" s="85"/>
      <c r="E42" s="76" t="s">
        <v>589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76" t="s">
        <v>590</v>
      </c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88"/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76" t="s">
        <v>591</v>
      </c>
      <c r="F45" s="84"/>
      <c r="G45" s="79"/>
      <c r="H45" s="79"/>
      <c r="I45" s="79"/>
      <c r="J45" s="87"/>
    </row>
    <row r="46" spans="1:10" ht="16.899999999999999" hidden="1">
      <c r="A46" s="78"/>
      <c r="B46" s="79"/>
      <c r="C46" s="79"/>
      <c r="D46" s="80"/>
      <c r="E46" s="76" t="s">
        <v>592</v>
      </c>
      <c r="F46" s="84"/>
      <c r="G46" s="79"/>
      <c r="H46" s="79"/>
      <c r="I46" s="79"/>
      <c r="J46" s="87"/>
    </row>
    <row r="47" spans="1:10" hidden="1">
      <c r="A47" s="78"/>
      <c r="B47" s="79"/>
      <c r="C47" s="79"/>
      <c r="D47" s="80"/>
      <c r="E47" s="69"/>
      <c r="F47" s="84"/>
      <c r="G47" s="79"/>
      <c r="H47" s="79"/>
      <c r="I47" s="79"/>
      <c r="J47" s="83"/>
    </row>
    <row r="48" spans="1:10" ht="15.75" hidden="1">
      <c r="A48" s="78"/>
      <c r="B48" s="79"/>
      <c r="C48" s="79"/>
      <c r="D48" s="80"/>
      <c r="E48" s="76" t="s">
        <v>593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594</v>
      </c>
      <c r="F49" s="84"/>
      <c r="G49" s="79"/>
      <c r="H49" s="79"/>
      <c r="I49" s="79"/>
      <c r="J49" s="83"/>
    </row>
    <row r="50" spans="1:10" ht="15.75" hidden="1">
      <c r="A50" s="78"/>
      <c r="B50" s="79"/>
      <c r="C50" s="79"/>
      <c r="D50" s="80"/>
      <c r="E50" s="76" t="s">
        <v>595</v>
      </c>
      <c r="F50" s="88"/>
      <c r="G50" s="88"/>
      <c r="H50" s="88"/>
      <c r="I50" s="88"/>
      <c r="J50" s="83"/>
    </row>
    <row r="51" spans="1:10" ht="15.75" hidden="1">
      <c r="A51" s="78"/>
      <c r="B51" s="79"/>
      <c r="C51" s="79"/>
      <c r="D51" s="80"/>
      <c r="E51" s="76" t="s">
        <v>596</v>
      </c>
      <c r="F51" s="88"/>
      <c r="G51" s="88"/>
      <c r="H51" s="88"/>
      <c r="I51" s="88"/>
      <c r="J51" s="83"/>
    </row>
    <row r="52" spans="1:10" ht="16.899999999999999" hidden="1">
      <c r="A52" s="937"/>
      <c r="B52" s="938"/>
      <c r="C52" s="938"/>
      <c r="D52" s="939"/>
      <c r="E52" s="76" t="s">
        <v>597</v>
      </c>
      <c r="F52" s="89"/>
      <c r="G52" s="89"/>
      <c r="H52" s="89"/>
      <c r="I52" s="89"/>
      <c r="J52" s="83"/>
    </row>
    <row r="53" spans="1:10" ht="16.899999999999999" hidden="1">
      <c r="A53" s="73"/>
      <c r="B53" s="74"/>
      <c r="C53" s="74"/>
      <c r="D53" s="85"/>
      <c r="E53" s="76" t="s">
        <v>598</v>
      </c>
      <c r="F53" s="89"/>
      <c r="G53" s="89"/>
      <c r="H53" s="89"/>
      <c r="I53" s="89"/>
      <c r="J53" s="83"/>
    </row>
    <row r="54" spans="1:10" ht="16.899999999999999" hidden="1">
      <c r="A54" s="937"/>
      <c r="B54" s="938"/>
      <c r="C54" s="938"/>
      <c r="D54" s="939"/>
      <c r="E54" s="69"/>
      <c r="F54" s="89"/>
      <c r="G54" s="89"/>
      <c r="H54" s="89"/>
      <c r="I54" s="89"/>
      <c r="J54" s="83"/>
    </row>
    <row r="55" spans="1:10" ht="15.75" hidden="1">
      <c r="A55" s="78"/>
      <c r="B55" s="79"/>
      <c r="C55" s="79"/>
      <c r="D55" s="80"/>
      <c r="E55" s="69"/>
      <c r="F55" s="88"/>
      <c r="G55" s="88"/>
      <c r="H55" s="88"/>
      <c r="I55" s="88"/>
      <c r="J55" s="83"/>
    </row>
    <row r="56" spans="1:10" ht="16.149999999999999" hidden="1" thickBot="1">
      <c r="A56" s="90"/>
      <c r="B56" s="91"/>
      <c r="C56" s="91"/>
      <c r="D56" s="92"/>
      <c r="E56" s="93"/>
      <c r="F56" s="94"/>
      <c r="G56" s="94"/>
      <c r="H56" s="94"/>
      <c r="I56" s="94"/>
      <c r="J56" s="95"/>
    </row>
    <row r="57" spans="1:10" ht="16.149999999999999" hidden="1" thickBot="1">
      <c r="A57" s="70"/>
      <c r="B57" s="71"/>
      <c r="C57" s="71"/>
      <c r="D57" s="71"/>
      <c r="E57" s="71"/>
      <c r="F57" s="72"/>
      <c r="G57" s="71"/>
      <c r="H57" s="71"/>
      <c r="I57" s="71"/>
      <c r="J57" s="126" t="s">
        <v>605</v>
      </c>
    </row>
    <row r="58" spans="1:10" ht="19.149999999999999" hidden="1">
      <c r="A58" s="949" t="s">
        <v>576</v>
      </c>
      <c r="B58" s="950"/>
      <c r="C58" s="950"/>
      <c r="D58" s="950"/>
      <c r="E58" s="950"/>
      <c r="F58" s="950"/>
      <c r="G58" s="950"/>
      <c r="H58" s="950"/>
      <c r="I58" s="950"/>
      <c r="J58" s="951"/>
    </row>
    <row r="59" spans="1:10" ht="16.899999999999999" hidden="1">
      <c r="A59" s="944" t="s">
        <v>577</v>
      </c>
      <c r="B59" s="945"/>
      <c r="C59" s="945"/>
      <c r="D59" s="946"/>
      <c r="E59" s="945" t="s">
        <v>578</v>
      </c>
      <c r="F59" s="945"/>
      <c r="G59" s="945"/>
      <c r="H59" s="945"/>
      <c r="I59" s="945"/>
      <c r="J59" s="952"/>
    </row>
    <row r="60" spans="1:10" ht="16.899999999999999" hidden="1">
      <c r="A60" s="73"/>
      <c r="B60" s="74"/>
      <c r="C60" s="74"/>
      <c r="D60" s="75"/>
      <c r="E60" s="76" t="s">
        <v>599</v>
      </c>
      <c r="F60" s="76"/>
      <c r="G60" s="76"/>
      <c r="H60" s="67"/>
      <c r="I60" s="67"/>
      <c r="J60" s="77"/>
    </row>
    <row r="61" spans="1:10" ht="15.75" hidden="1">
      <c r="A61" s="78"/>
      <c r="B61" s="79"/>
      <c r="C61" s="79"/>
      <c r="D61" s="80"/>
      <c r="E61" s="76" t="s">
        <v>600</v>
      </c>
      <c r="F61" s="82"/>
      <c r="G61" s="82"/>
      <c r="H61" s="82"/>
      <c r="I61" s="82"/>
      <c r="J61" s="83"/>
    </row>
    <row r="62" spans="1:10" ht="15.75" hidden="1">
      <c r="A62" s="78"/>
      <c r="B62" s="79"/>
      <c r="C62" s="79"/>
      <c r="D62" s="80"/>
      <c r="E62" s="76" t="s">
        <v>601</v>
      </c>
      <c r="F62" s="84"/>
      <c r="G62" s="79"/>
      <c r="H62" s="79"/>
      <c r="I62" s="79"/>
      <c r="J62" s="83"/>
    </row>
    <row r="63" spans="1:10" ht="15.75" hidden="1">
      <c r="A63" s="78"/>
      <c r="B63" s="79"/>
      <c r="C63" s="79"/>
      <c r="D63" s="80"/>
      <c r="E63" s="76" t="s">
        <v>602</v>
      </c>
      <c r="F63" s="82"/>
      <c r="G63" s="82"/>
      <c r="H63" s="82"/>
      <c r="I63" s="82"/>
      <c r="J63" s="83"/>
    </row>
    <row r="64" spans="1:10" ht="15.75" hidden="1">
      <c r="A64" s="78"/>
      <c r="B64" s="79"/>
      <c r="C64" s="79"/>
      <c r="D64" s="80"/>
      <c r="E64" s="76" t="s">
        <v>603</v>
      </c>
      <c r="F64" s="84"/>
      <c r="G64" s="79"/>
      <c r="H64" s="79"/>
      <c r="I64" s="79"/>
      <c r="J64" s="83"/>
    </row>
    <row r="65" spans="1:10" hidden="1">
      <c r="A65" s="78"/>
      <c r="B65" s="79"/>
      <c r="C65" s="79"/>
      <c r="D65" s="80"/>
      <c r="E65" s="69"/>
      <c r="F65" s="84"/>
      <c r="G65" s="79"/>
      <c r="H65" s="79"/>
      <c r="I65" s="79"/>
      <c r="J65" s="83"/>
    </row>
    <row r="66" spans="1:10" ht="15.75" hidden="1">
      <c r="A66" s="78"/>
      <c r="B66" s="79"/>
      <c r="C66" s="79"/>
      <c r="D66" s="80"/>
      <c r="E66" s="76" t="s">
        <v>604</v>
      </c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/>
      <c r="F67" s="84"/>
      <c r="G67" s="79"/>
      <c r="H67" s="79"/>
      <c r="I67" s="79"/>
      <c r="J67" s="83"/>
    </row>
    <row r="68" spans="1:10" ht="15.75" hidden="1">
      <c r="A68" s="78"/>
      <c r="B68" s="79"/>
      <c r="C68" s="79"/>
      <c r="D68" s="80"/>
      <c r="E68" s="76"/>
      <c r="F68" s="84"/>
      <c r="G68" s="79"/>
      <c r="H68" s="79"/>
      <c r="I68" s="79"/>
      <c r="J68" s="83"/>
    </row>
    <row r="69" spans="1:10" ht="16.899999999999999" hidden="1">
      <c r="A69" s="937"/>
      <c r="B69" s="938"/>
      <c r="C69" s="938"/>
      <c r="D69" s="939"/>
      <c r="E69" s="76"/>
      <c r="F69" s="89"/>
      <c r="G69" s="89"/>
      <c r="H69" s="89"/>
      <c r="I69" s="89"/>
      <c r="J69" s="83"/>
    </row>
    <row r="70" spans="1:10" ht="16.899999999999999" hidden="1">
      <c r="A70" s="73"/>
      <c r="B70" s="74"/>
      <c r="C70" s="74"/>
      <c r="D70" s="85"/>
      <c r="E70" s="96"/>
      <c r="F70" s="89"/>
      <c r="G70" s="89"/>
      <c r="H70" s="89"/>
      <c r="I70" s="89"/>
      <c r="J70" s="83"/>
    </row>
    <row r="71" spans="1:10" ht="15.75" hidden="1">
      <c r="A71" s="78"/>
      <c r="B71" s="79"/>
      <c r="C71" s="79"/>
      <c r="D71" s="80"/>
      <c r="E71" s="69"/>
      <c r="F71" s="88"/>
      <c r="G71" s="88"/>
      <c r="H71" s="88"/>
      <c r="I71" s="88"/>
      <c r="J71" s="83"/>
    </row>
    <row r="72" spans="1:10" ht="16.149999999999999" hidden="1" thickBot="1">
      <c r="A72" s="90"/>
      <c r="B72" s="91"/>
      <c r="C72" s="91"/>
      <c r="D72" s="92"/>
      <c r="E72" s="93"/>
      <c r="F72" s="94"/>
      <c r="G72" s="94"/>
      <c r="H72" s="94"/>
      <c r="I72" s="94"/>
      <c r="J72" s="95"/>
    </row>
    <row r="73" spans="1:10" ht="16.149999999999999" hidden="1" thickBot="1">
      <c r="A73" s="70"/>
      <c r="B73" s="71"/>
      <c r="C73" s="71"/>
      <c r="D73" s="71"/>
      <c r="E73" s="71"/>
      <c r="F73" s="72"/>
      <c r="G73" s="71"/>
      <c r="H73" s="71"/>
      <c r="I73" s="71"/>
      <c r="J73" s="126" t="s">
        <v>605</v>
      </c>
    </row>
  </sheetData>
  <mergeCells count="29">
    <mergeCell ref="A1:J1"/>
    <mergeCell ref="A3:A11"/>
    <mergeCell ref="B3:J11"/>
    <mergeCell ref="A12:A24"/>
    <mergeCell ref="B12:B13"/>
    <mergeCell ref="C12:C13"/>
    <mergeCell ref="D12:E12"/>
    <mergeCell ref="F12:F13"/>
    <mergeCell ref="G12:G13"/>
    <mergeCell ref="H12:H13"/>
    <mergeCell ref="I12:I13"/>
    <mergeCell ref="J12:J13"/>
    <mergeCell ref="B14:B17"/>
    <mergeCell ref="B18:B20"/>
    <mergeCell ref="B21:B24"/>
    <mergeCell ref="C25:D25"/>
    <mergeCell ref="F25:H25"/>
    <mergeCell ref="A69:D69"/>
    <mergeCell ref="F26:H26"/>
    <mergeCell ref="A28:J28"/>
    <mergeCell ref="A29:D29"/>
    <mergeCell ref="E29:J29"/>
    <mergeCell ref="A39:D39"/>
    <mergeCell ref="A41:D41"/>
    <mergeCell ref="A52:D52"/>
    <mergeCell ref="A54:D54"/>
    <mergeCell ref="A58:J58"/>
    <mergeCell ref="A59:D59"/>
    <mergeCell ref="E59:J59"/>
  </mergeCells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4C20E6-EA65-423C-86C2-D676CC832E31}">
  <sheetPr>
    <tabColor theme="3" tint="0.59999389629810485"/>
  </sheetPr>
  <dimension ref="A1:L74"/>
  <sheetViews>
    <sheetView showGridLines="0" topLeftCell="A6" zoomScaleNormal="100" workbookViewId="0">
      <selection activeCell="J18" sqref="J18:K18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9" max="9" width="11.0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1123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/>
      <c r="C14" s="175" t="s">
        <v>1107</v>
      </c>
      <c r="D14" s="130" t="str">
        <f>IFERROR(VLOOKUP(C14,MasterSheet!$B$6:$N$150,2,),"n/a")</f>
        <v>김자반</v>
      </c>
      <c r="E14" s="130" t="str">
        <f>IFERROR(VLOOKUP($C$14,MasterSheet!$B$6:$N$150,3,),"n/a")</f>
        <v>GIMBORI (Crispy Seaweed)</v>
      </c>
      <c r="F14" s="320">
        <v>1</v>
      </c>
      <c r="G14" s="131" t="str">
        <f>IFERROR(VLOOKUP(C14,MasterSheet!B7:N151,10,),"N/a")</f>
        <v>g</v>
      </c>
      <c r="H14" s="318">
        <f>IFERROR(VLOOKUP(C14,MasterSheet!$B$6:$N$150,11,),"N/a")</f>
        <v>390.90909090909093</v>
      </c>
      <c r="I14" s="318">
        <f>IFERROR(F14*H14,"-")</f>
        <v>390.90909090909093</v>
      </c>
      <c r="J14" s="166"/>
    </row>
    <row r="15" spans="1:10" ht="16.5" customHeight="1">
      <c r="A15" s="967"/>
      <c r="B15" s="973"/>
      <c r="C15" s="175" t="s">
        <v>1254</v>
      </c>
      <c r="D15" s="130" t="str">
        <f>IFERROR(VLOOKUP($C$15,MasterSheet!$B$6:$N$150,2,),"n/a")</f>
        <v>부분육 (1.3kg)</v>
      </c>
      <c r="E15" s="130" t="str">
        <f>IFERROR(VLOOKUP($C$15,MasterSheet!$B$6:$N$150,3,),"n/a")</f>
        <v>Injected Partial Chicken (1.3kg)</v>
      </c>
      <c r="F15" s="321">
        <v>400</v>
      </c>
      <c r="G15" s="131" t="str">
        <f>IFERROR(VLOOKUP($C$15,MasterSheet!$B$6:$N$150,10,),"n/a")</f>
        <v>g</v>
      </c>
      <c r="H15" s="318">
        <f>IFERROR(VLOOKUP(C15,MasterSheet!$B$6:$N$150,11,),"N/a")</f>
        <v>35.020242914979754</v>
      </c>
      <c r="I15" s="318">
        <f>IFERROR(F15*H15,"-")</f>
        <v>14008.097165991901</v>
      </c>
      <c r="J15" s="167"/>
    </row>
    <row r="16" spans="1:10" ht="16.899999999999999">
      <c r="A16" s="967"/>
      <c r="B16" s="973"/>
      <c r="C16" s="175" t="s">
        <v>4</v>
      </c>
      <c r="D16" s="136" t="str">
        <f>IFERROR(VLOOKUP($C$16,MasterSheet!$B$6:$N$150,2,),"n/a")</f>
        <v>올리브치킨용배터믹스</v>
      </c>
      <c r="E16" s="136" t="str">
        <f>IFERROR(VLOOKUP($C$16,MasterSheet!$B$6:$N$150,3,),"n/a")</f>
        <v>Battering Powder Mix</v>
      </c>
      <c r="F16" s="239">
        <f>F15*0.175</f>
        <v>70</v>
      </c>
      <c r="G16" s="131" t="str">
        <f>IFERROR(VLOOKUP($C$16,MasterSheet!$B$6:$N$150,10,),"n/a")</f>
        <v>g</v>
      </c>
      <c r="H16" s="318">
        <f>IFERROR(VLOOKUP(C16,MasterSheet!$B$6:$N$150,11,),"N/a")</f>
        <v>81.617647058823536</v>
      </c>
      <c r="I16" s="318">
        <f>IFERROR(F16*H16,"-")</f>
        <v>5713.2352941176478</v>
      </c>
      <c r="J16" s="167" t="s">
        <v>1094</v>
      </c>
    </row>
    <row r="17" spans="1:12" ht="16.899999999999999">
      <c r="A17" s="967"/>
      <c r="B17" s="973"/>
      <c r="C17" s="175" t="s">
        <v>757</v>
      </c>
      <c r="D17" s="136" t="str">
        <f>IFERROR(VLOOKUP(C17,MasterSheet!$B$6:$N$150,2,),"n/a")</f>
        <v>올리브치킨용마리네이드</v>
      </c>
      <c r="E17" s="136" t="str">
        <f>IFERROR(VLOOKUP(C17,MasterSheet!$B$6:$N$150,3,),"n/a")</f>
        <v xml:space="preserve">Marinade Powder Mix </v>
      </c>
      <c r="F17" s="239">
        <f>F15*0.012</f>
        <v>4.8</v>
      </c>
      <c r="G17" s="131" t="str">
        <f>IFERROR(VLOOKUP(C17,MasterSheet!$B$6:$N$150,10,),"n/a")</f>
        <v>g</v>
      </c>
      <c r="H17" s="318">
        <f>IFERROR(VLOOKUP(C17,MasterSheet!$B$6:$N$150,11,),"n/a")</f>
        <v>117.51275510204081</v>
      </c>
      <c r="I17" s="318">
        <f>IFERROR(F17*H17,"-")</f>
        <v>564.0612244897959</v>
      </c>
      <c r="J17" s="168" t="s">
        <v>1095</v>
      </c>
      <c r="L17" s="68"/>
    </row>
    <row r="18" spans="1:12" ht="16.899999999999999">
      <c r="A18" s="967"/>
      <c r="B18" s="973"/>
      <c r="C18" s="175" t="s">
        <v>999</v>
      </c>
      <c r="D18" s="136" t="str">
        <f>IFERROR(VLOOKUP(C18,MasterSheet!$B$6:$N$150,2,),"n/a")</f>
        <v>팜유</v>
      </c>
      <c r="E18" s="136" t="str">
        <f>IFERROR(VLOOKUP(C18,MasterSheet!$B$6:$N$150,3,),"n/a")</f>
        <v>Palm Oil</v>
      </c>
      <c r="F18" s="239">
        <f>F15*0.1</f>
        <v>40</v>
      </c>
      <c r="G18" s="131" t="str">
        <f>IFERROR(VLOOKUP(C18,MasterSheet!$B$6:$N$150,10,),"n/a")</f>
        <v>g</v>
      </c>
      <c r="H18" s="318">
        <f>IFERROR(VLOOKUP(C18,MasterSheet!$B$6:$N$150,11,),"n/a")</f>
        <v>25.580404040404041</v>
      </c>
      <c r="I18" s="318">
        <f>IFERROR(F18*H18,"-")</f>
        <v>1023.2161616161616</v>
      </c>
      <c r="J18" s="168" t="s">
        <v>1290</v>
      </c>
    </row>
    <row r="19" spans="1:12" ht="28.5">
      <c r="A19" s="967"/>
      <c r="B19" s="974" t="s">
        <v>622</v>
      </c>
      <c r="C19" s="175" t="s">
        <v>567</v>
      </c>
      <c r="D19" s="140" t="str">
        <f>VLOOKUP(C19,CK!$B$8:$L$11,3,)</f>
        <v>올리브배터믹스솔루션</v>
      </c>
      <c r="E19" s="140" t="str">
        <f>VLOOKUP(C19,CK!$B$8:$L$11,4,)</f>
        <v>Battering Powder Mix Solution(White)</v>
      </c>
      <c r="F19" s="239">
        <f>F15*0.2</f>
        <v>80</v>
      </c>
      <c r="G19" s="141" t="str">
        <f>VLOOKUP(C19,CK!$B$8:$L$11,9,)</f>
        <v>g</v>
      </c>
      <c r="H19" s="319">
        <f>VLOOKUP(C19,CK!$B$8:$L$11,10,)</f>
        <v>30.23</v>
      </c>
      <c r="I19" s="319">
        <f>F19*H19</f>
        <v>2418.4</v>
      </c>
      <c r="J19" s="170" t="s">
        <v>786</v>
      </c>
    </row>
    <row r="20" spans="1:12" ht="16.899999999999999">
      <c r="A20" s="967"/>
      <c r="B20" s="974"/>
      <c r="C20" s="175" t="s">
        <v>1283</v>
      </c>
      <c r="D20" s="140" t="str">
        <f>VLOOKUP(C20,CK!$B$8:$L$283,3,)</f>
        <v>탄산음료</v>
      </c>
      <c r="E20" s="140" t="str">
        <f>VLOOKUP(C20,CK!$B$8:$L$283,4,)</f>
        <v>Soft Drink</v>
      </c>
      <c r="F20" s="239">
        <v>250</v>
      </c>
      <c r="G20" s="141" t="str">
        <f>VLOOKUP(C20,CK!$B$8:$L$283,9,)</f>
        <v>ml</v>
      </c>
      <c r="H20" s="319">
        <f>VLOOKUP(C20,CK!$B$8:$L$283,10,)</f>
        <v>8.9157788757136593</v>
      </c>
      <c r="I20" s="319">
        <f>F20*H20</f>
        <v>2228.9447189284147</v>
      </c>
      <c r="J20" s="170"/>
    </row>
    <row r="21" spans="1:12" ht="16.899999999999999">
      <c r="A21" s="967"/>
      <c r="B21" s="974"/>
      <c r="C21" s="175" t="s">
        <v>1090</v>
      </c>
      <c r="D21" s="140" t="str">
        <f>VLOOKUP(C21,CK!$B$8:$L$283,3,)</f>
        <v>공기밥</v>
      </c>
      <c r="E21" s="140" t="str">
        <f>VLOOKUP(C21,CK!$B$8:$L$283,4,)</f>
        <v>Steamed Rice</v>
      </c>
      <c r="F21" s="239">
        <v>180</v>
      </c>
      <c r="G21" s="141" t="str">
        <f>VLOOKUP(C21,CK!$B$8:$L$283,9,)</f>
        <v>g</v>
      </c>
      <c r="H21" s="319">
        <f>VLOOKUP(C21,CK!$B$8:$L$283,10,)</f>
        <v>4.833333333333333</v>
      </c>
      <c r="I21" s="319">
        <f>F21*H21</f>
        <v>870</v>
      </c>
      <c r="J21" s="170"/>
    </row>
    <row r="22" spans="1:12" ht="16.899999999999999">
      <c r="A22" s="967"/>
      <c r="B22" s="975" t="s">
        <v>623</v>
      </c>
      <c r="C22" s="175"/>
      <c r="D22" s="145" t="str">
        <f>IFERROR(VLOOKUP(C22,MasterSheet!$B$6:$N$342,2,),"n/a")</f>
        <v>n/a</v>
      </c>
      <c r="E22" s="145" t="str">
        <f>IFERROR(VLOOKUP(C22,MasterSheet!$B$6:$N$342,3,),"n/a")</f>
        <v>n/a</v>
      </c>
      <c r="F22" s="239">
        <v>1</v>
      </c>
      <c r="G22" s="147" t="str">
        <f>IFERROR(VLOOKUP(C22,MasterSheet!$B$6:$N$342,10,),"n/a")</f>
        <v>n/a</v>
      </c>
      <c r="H22" s="322" t="str">
        <f>IFERROR(VLOOKUP(C22,MasterSheet!$B$6:$N$342,11,),"n/a")</f>
        <v>n/a</v>
      </c>
      <c r="I22" s="322" t="str">
        <f>IFERROR(F22*H22,"-")</f>
        <v>-</v>
      </c>
      <c r="J22" s="171"/>
    </row>
    <row r="23" spans="1:12" ht="16.899999999999999">
      <c r="A23" s="967"/>
      <c r="B23" s="976"/>
      <c r="C23" s="175" t="s">
        <v>1097</v>
      </c>
      <c r="D23" s="145" t="str">
        <f>IFERROR(VLOOKUP(C23,MasterSheet!$B$6:$N$342,2,),"n/a")</f>
        <v>콤보 패키지</v>
      </c>
      <c r="E23" s="145" t="str">
        <f>IFERROR(VLOOKUP(C23,MasterSheet!$B$6:$N$342,3,),"n/a")</f>
        <v>Combo Package</v>
      </c>
      <c r="F23" s="239">
        <v>1</v>
      </c>
      <c r="G23" s="147" t="str">
        <f>IFERROR(VLOOKUP(C23,MasterSheet!$B$6:$N$342,10,),"n/a")</f>
        <v>ea</v>
      </c>
      <c r="H23" s="322">
        <f>IFERROR(VLOOKUP(C23,MasterSheet!$B$6:$N$342,11,),"n/a")</f>
        <v>1204</v>
      </c>
      <c r="I23" s="322">
        <f>IFERROR(F23*H23,"-")</f>
        <v>1204</v>
      </c>
      <c r="J23" s="171"/>
    </row>
    <row r="24" spans="1:12" ht="28.5">
      <c r="A24" s="967"/>
      <c r="B24" s="976"/>
      <c r="C24" s="175" t="s">
        <v>1150</v>
      </c>
      <c r="D24" s="145" t="str">
        <f>IFERROR(VLOOKUP(C24,MasterSheet!$B$6:$N$342,2,),"n/a")</f>
        <v>유산지</v>
      </c>
      <c r="E24" s="145" t="str">
        <f>IFERROR(VLOOKUP(C24,MasterSheet!$B$6:$N$342,3,),"n/a")</f>
        <v>PARCHMENT PAPER / WRAPPING RICE</v>
      </c>
      <c r="F24" s="239">
        <v>1</v>
      </c>
      <c r="G24" s="147" t="str">
        <f>IFERROR(VLOOKUP(C24,MasterSheet!$B$6:$N$342,10,),"n/a")</f>
        <v>ea</v>
      </c>
      <c r="H24" s="322">
        <f>IFERROR(VLOOKUP(C24,MasterSheet!$B$6:$N$342,11,),"n/a")</f>
        <v>216.45</v>
      </c>
      <c r="I24" s="322">
        <f>IFERROR(F24*H24,"-")</f>
        <v>216.45</v>
      </c>
      <c r="J24" s="171"/>
    </row>
    <row r="25" spans="1:12" ht="17.25" thickBot="1">
      <c r="A25" s="968"/>
      <c r="B25" s="977"/>
      <c r="C25" s="241"/>
      <c r="D25" s="155"/>
      <c r="E25" s="154"/>
      <c r="F25" s="242"/>
      <c r="G25" s="152"/>
      <c r="H25" s="152"/>
      <c r="I25" s="152"/>
      <c r="J25" s="172"/>
    </row>
    <row r="26" spans="1:12" ht="17.25" thickBot="1">
      <c r="A26" s="156"/>
      <c r="B26" s="157" t="s">
        <v>614</v>
      </c>
      <c r="C26" s="935" t="s">
        <v>624</v>
      </c>
      <c r="D26" s="935"/>
      <c r="E26" s="339"/>
      <c r="F26" s="936" t="s">
        <v>625</v>
      </c>
      <c r="G26" s="936"/>
      <c r="H26" s="936"/>
      <c r="I26" s="341">
        <f>SUM(I14:I25)</f>
        <v>28637.313656053015</v>
      </c>
      <c r="J26" s="330" t="s">
        <v>790</v>
      </c>
    </row>
    <row r="27" spans="1:12" ht="17.25" thickBot="1">
      <c r="A27" s="156"/>
      <c r="B27" s="157"/>
      <c r="C27" s="158"/>
      <c r="D27" s="159"/>
      <c r="E27" s="159"/>
      <c r="F27" s="940" t="s">
        <v>789</v>
      </c>
      <c r="G27" s="940"/>
      <c r="H27" s="940"/>
      <c r="I27" s="237">
        <v>60000</v>
      </c>
      <c r="J27" s="331">
        <f>IFERROR((I26/I27),"-")</f>
        <v>0.4772885609342169</v>
      </c>
    </row>
    <row r="28" spans="1:12" ht="16.149999999999999" thickBot="1">
      <c r="A28" s="70"/>
      <c r="B28" s="97"/>
      <c r="C28" s="97"/>
      <c r="D28" s="97"/>
      <c r="E28" s="97"/>
      <c r="F28" s="98"/>
      <c r="G28" s="97"/>
      <c r="H28" s="97"/>
      <c r="I28" s="97"/>
      <c r="J28" s="127" t="s">
        <v>605</v>
      </c>
    </row>
    <row r="29" spans="1:12" ht="19.149999999999999" hidden="1">
      <c r="A29" s="941" t="s">
        <v>576</v>
      </c>
      <c r="B29" s="942"/>
      <c r="C29" s="942"/>
      <c r="D29" s="942"/>
      <c r="E29" s="942"/>
      <c r="F29" s="942"/>
      <c r="G29" s="942"/>
      <c r="H29" s="942"/>
      <c r="I29" s="942"/>
      <c r="J29" s="943"/>
    </row>
    <row r="30" spans="1:12" ht="16.899999999999999" hidden="1">
      <c r="A30" s="944" t="s">
        <v>577</v>
      </c>
      <c r="B30" s="945"/>
      <c r="C30" s="945"/>
      <c r="D30" s="946"/>
      <c r="E30" s="947" t="s">
        <v>578</v>
      </c>
      <c r="F30" s="947"/>
      <c r="G30" s="947"/>
      <c r="H30" s="947"/>
      <c r="I30" s="947"/>
      <c r="J30" s="948"/>
    </row>
    <row r="31" spans="1:12" ht="16.899999999999999" hidden="1">
      <c r="A31" s="73"/>
      <c r="B31" s="74"/>
      <c r="C31" s="74"/>
      <c r="D31" s="75"/>
      <c r="E31" s="76" t="s">
        <v>579</v>
      </c>
      <c r="F31" s="76"/>
      <c r="G31" s="67"/>
      <c r="H31" s="67"/>
      <c r="I31" s="67"/>
      <c r="J31" s="77"/>
    </row>
    <row r="32" spans="1:12" ht="15.75" hidden="1">
      <c r="A32" s="78"/>
      <c r="B32" s="79"/>
      <c r="C32" s="79"/>
      <c r="D32" s="80"/>
      <c r="E32" s="81" t="s">
        <v>580</v>
      </c>
      <c r="F32" s="82"/>
      <c r="G32" s="82"/>
      <c r="H32" s="82"/>
      <c r="I32" s="82"/>
      <c r="J32" s="83"/>
    </row>
    <row r="33" spans="1:10" ht="15.75" hidden="1">
      <c r="A33" s="78"/>
      <c r="B33" s="79"/>
      <c r="C33" s="79"/>
      <c r="D33" s="80"/>
      <c r="E33" s="76"/>
      <c r="F33" s="84"/>
      <c r="G33" s="79"/>
      <c r="H33" s="79"/>
      <c r="I33" s="79"/>
      <c r="J33" s="83"/>
    </row>
    <row r="34" spans="1:10" ht="15.75" hidden="1">
      <c r="A34" s="78"/>
      <c r="B34" s="79"/>
      <c r="C34" s="79"/>
      <c r="D34" s="80"/>
      <c r="E34" s="76" t="s">
        <v>581</v>
      </c>
      <c r="F34" s="82"/>
      <c r="G34" s="82"/>
      <c r="H34" s="82"/>
      <c r="I34" s="82"/>
      <c r="J34" s="83"/>
    </row>
    <row r="35" spans="1:10" ht="15.75" hidden="1">
      <c r="A35" s="78"/>
      <c r="B35" s="79"/>
      <c r="C35" s="79"/>
      <c r="D35" s="80"/>
      <c r="E35" s="76" t="s">
        <v>582</v>
      </c>
      <c r="F35" s="84"/>
      <c r="G35" s="79"/>
      <c r="H35" s="79"/>
      <c r="I35" s="79"/>
      <c r="J35" s="83"/>
    </row>
    <row r="36" spans="1:10" ht="15.75" hidden="1">
      <c r="A36" s="78"/>
      <c r="B36" s="79"/>
      <c r="C36" s="79"/>
      <c r="D36" s="80"/>
      <c r="E36" s="76" t="s">
        <v>583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/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 t="s">
        <v>584</v>
      </c>
      <c r="F38" s="84"/>
      <c r="G38" s="79"/>
      <c r="H38" s="79"/>
      <c r="I38" s="79"/>
      <c r="J38" s="83"/>
    </row>
    <row r="39" spans="1:10" ht="15.75" hidden="1">
      <c r="A39" s="78"/>
      <c r="B39" s="79"/>
      <c r="C39" s="79"/>
      <c r="D39" s="80"/>
      <c r="E39" s="76" t="s">
        <v>585</v>
      </c>
      <c r="F39" s="84"/>
      <c r="G39" s="79"/>
      <c r="H39" s="79"/>
      <c r="I39" s="79"/>
      <c r="J39" s="83"/>
    </row>
    <row r="40" spans="1:10" ht="16.899999999999999" hidden="1">
      <c r="A40" s="937"/>
      <c r="B40" s="938"/>
      <c r="C40" s="938"/>
      <c r="D40" s="939"/>
      <c r="E40" s="76" t="s">
        <v>586</v>
      </c>
      <c r="F40" s="86"/>
      <c r="G40" s="79"/>
      <c r="H40" s="79"/>
      <c r="I40" s="79"/>
      <c r="J40" s="83"/>
    </row>
    <row r="41" spans="1:10" ht="16.899999999999999" hidden="1">
      <c r="A41" s="73"/>
      <c r="B41" s="74"/>
      <c r="C41" s="74"/>
      <c r="D41" s="85"/>
      <c r="E41" s="76" t="s">
        <v>587</v>
      </c>
      <c r="F41" s="86"/>
      <c r="G41" s="79"/>
      <c r="H41" s="79"/>
      <c r="I41" s="79"/>
      <c r="J41" s="83"/>
    </row>
    <row r="42" spans="1:10" ht="16.899999999999999" hidden="1">
      <c r="A42" s="937"/>
      <c r="B42" s="938"/>
      <c r="C42" s="938"/>
      <c r="D42" s="939"/>
      <c r="E42" s="76" t="s">
        <v>588</v>
      </c>
      <c r="F42" s="84"/>
      <c r="G42" s="79"/>
      <c r="H42" s="79"/>
      <c r="I42" s="79"/>
      <c r="J42" s="87"/>
    </row>
    <row r="43" spans="1:10" ht="16.899999999999999" hidden="1">
      <c r="A43" s="73"/>
      <c r="B43" s="74"/>
      <c r="C43" s="74"/>
      <c r="D43" s="85"/>
      <c r="E43" s="76" t="s">
        <v>589</v>
      </c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590</v>
      </c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88"/>
      <c r="F45" s="84"/>
      <c r="G45" s="79"/>
      <c r="H45" s="79"/>
      <c r="I45" s="79"/>
      <c r="J45" s="87"/>
    </row>
    <row r="46" spans="1:10" ht="16.899999999999999" hidden="1">
      <c r="A46" s="73"/>
      <c r="B46" s="74"/>
      <c r="C46" s="74"/>
      <c r="D46" s="85"/>
      <c r="E46" s="76" t="s">
        <v>591</v>
      </c>
      <c r="F46" s="84"/>
      <c r="G46" s="79"/>
      <c r="H46" s="79"/>
      <c r="I46" s="79"/>
      <c r="J46" s="87"/>
    </row>
    <row r="47" spans="1:10" ht="16.899999999999999" hidden="1">
      <c r="A47" s="78"/>
      <c r="B47" s="79"/>
      <c r="C47" s="79"/>
      <c r="D47" s="80"/>
      <c r="E47" s="76" t="s">
        <v>592</v>
      </c>
      <c r="F47" s="84"/>
      <c r="G47" s="79"/>
      <c r="H47" s="79"/>
      <c r="I47" s="79"/>
      <c r="J47" s="87"/>
    </row>
    <row r="48" spans="1:10" hidden="1">
      <c r="A48" s="78"/>
      <c r="B48" s="79"/>
      <c r="C48" s="79"/>
      <c r="D48" s="80"/>
      <c r="E48" s="69"/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593</v>
      </c>
      <c r="F49" s="84"/>
      <c r="G49" s="79"/>
      <c r="H49" s="79"/>
      <c r="I49" s="79"/>
      <c r="J49" s="83"/>
    </row>
    <row r="50" spans="1:10" ht="15.75" hidden="1">
      <c r="A50" s="78"/>
      <c r="B50" s="79"/>
      <c r="C50" s="79"/>
      <c r="D50" s="80"/>
      <c r="E50" s="76" t="s">
        <v>594</v>
      </c>
      <c r="F50" s="84"/>
      <c r="G50" s="79"/>
      <c r="H50" s="79"/>
      <c r="I50" s="79"/>
      <c r="J50" s="83"/>
    </row>
    <row r="51" spans="1:10" ht="15.75" hidden="1">
      <c r="A51" s="78"/>
      <c r="B51" s="79"/>
      <c r="C51" s="79"/>
      <c r="D51" s="80"/>
      <c r="E51" s="76" t="s">
        <v>595</v>
      </c>
      <c r="F51" s="88"/>
      <c r="G51" s="88"/>
      <c r="H51" s="88"/>
      <c r="I51" s="88"/>
      <c r="J51" s="83"/>
    </row>
    <row r="52" spans="1:10" ht="15.75" hidden="1">
      <c r="A52" s="78"/>
      <c r="B52" s="79"/>
      <c r="C52" s="79"/>
      <c r="D52" s="80"/>
      <c r="E52" s="76" t="s">
        <v>596</v>
      </c>
      <c r="F52" s="88"/>
      <c r="G52" s="88"/>
      <c r="H52" s="88"/>
      <c r="I52" s="88"/>
      <c r="J52" s="83"/>
    </row>
    <row r="53" spans="1:10" ht="16.899999999999999" hidden="1">
      <c r="A53" s="937"/>
      <c r="B53" s="938"/>
      <c r="C53" s="938"/>
      <c r="D53" s="939"/>
      <c r="E53" s="76" t="s">
        <v>597</v>
      </c>
      <c r="F53" s="89"/>
      <c r="G53" s="89"/>
      <c r="H53" s="89"/>
      <c r="I53" s="89"/>
      <c r="J53" s="83"/>
    </row>
    <row r="54" spans="1:10" ht="16.899999999999999" hidden="1">
      <c r="A54" s="73"/>
      <c r="B54" s="74"/>
      <c r="C54" s="74"/>
      <c r="D54" s="85"/>
      <c r="E54" s="76" t="s">
        <v>598</v>
      </c>
      <c r="F54" s="89"/>
      <c r="G54" s="89"/>
      <c r="H54" s="89"/>
      <c r="I54" s="89"/>
      <c r="J54" s="83"/>
    </row>
    <row r="55" spans="1:10" ht="16.899999999999999" hidden="1">
      <c r="A55" s="937"/>
      <c r="B55" s="938"/>
      <c r="C55" s="938"/>
      <c r="D55" s="939"/>
      <c r="E55" s="69"/>
      <c r="F55" s="89"/>
      <c r="G55" s="89"/>
      <c r="H55" s="89"/>
      <c r="I55" s="89"/>
      <c r="J55" s="83"/>
    </row>
    <row r="56" spans="1:10" ht="15.75" hidden="1">
      <c r="A56" s="78"/>
      <c r="B56" s="79"/>
      <c r="C56" s="79"/>
      <c r="D56" s="80"/>
      <c r="E56" s="69"/>
      <c r="F56" s="88"/>
      <c r="G56" s="88"/>
      <c r="H56" s="88"/>
      <c r="I56" s="88"/>
      <c r="J56" s="83"/>
    </row>
    <row r="57" spans="1:10" ht="16.149999999999999" hidden="1" thickBot="1">
      <c r="A57" s="90"/>
      <c r="B57" s="91"/>
      <c r="C57" s="91"/>
      <c r="D57" s="92"/>
      <c r="E57" s="93"/>
      <c r="F57" s="94"/>
      <c r="G57" s="94"/>
      <c r="H57" s="94"/>
      <c r="I57" s="94"/>
      <c r="J57" s="95"/>
    </row>
    <row r="58" spans="1:10" ht="16.149999999999999" hidden="1" thickBot="1">
      <c r="A58" s="70"/>
      <c r="B58" s="71"/>
      <c r="C58" s="71"/>
      <c r="D58" s="71"/>
      <c r="E58" s="71"/>
      <c r="F58" s="72"/>
      <c r="G58" s="71"/>
      <c r="H58" s="71"/>
      <c r="I58" s="71"/>
      <c r="J58" s="126" t="s">
        <v>605</v>
      </c>
    </row>
    <row r="59" spans="1:10" ht="19.149999999999999" hidden="1">
      <c r="A59" s="949" t="s">
        <v>576</v>
      </c>
      <c r="B59" s="950"/>
      <c r="C59" s="950"/>
      <c r="D59" s="950"/>
      <c r="E59" s="950"/>
      <c r="F59" s="950"/>
      <c r="G59" s="950"/>
      <c r="H59" s="950"/>
      <c r="I59" s="950"/>
      <c r="J59" s="951"/>
    </row>
    <row r="60" spans="1:10" ht="16.899999999999999" hidden="1">
      <c r="A60" s="944" t="s">
        <v>577</v>
      </c>
      <c r="B60" s="945"/>
      <c r="C60" s="945"/>
      <c r="D60" s="946"/>
      <c r="E60" s="945" t="s">
        <v>578</v>
      </c>
      <c r="F60" s="945"/>
      <c r="G60" s="945"/>
      <c r="H60" s="945"/>
      <c r="I60" s="945"/>
      <c r="J60" s="952"/>
    </row>
    <row r="61" spans="1:10" ht="16.899999999999999" hidden="1">
      <c r="A61" s="73"/>
      <c r="B61" s="74"/>
      <c r="C61" s="74"/>
      <c r="D61" s="75"/>
      <c r="E61" s="76" t="s">
        <v>599</v>
      </c>
      <c r="F61" s="76"/>
      <c r="G61" s="76"/>
      <c r="H61" s="67"/>
      <c r="I61" s="67"/>
      <c r="J61" s="77"/>
    </row>
    <row r="62" spans="1:10" ht="15.75" hidden="1">
      <c r="A62" s="78"/>
      <c r="B62" s="79"/>
      <c r="C62" s="79"/>
      <c r="D62" s="80"/>
      <c r="E62" s="76" t="s">
        <v>600</v>
      </c>
      <c r="F62" s="82"/>
      <c r="G62" s="82"/>
      <c r="H62" s="82"/>
      <c r="I62" s="82"/>
      <c r="J62" s="83"/>
    </row>
    <row r="63" spans="1:10" ht="15.75" hidden="1">
      <c r="A63" s="78"/>
      <c r="B63" s="79"/>
      <c r="C63" s="79"/>
      <c r="D63" s="80"/>
      <c r="E63" s="76" t="s">
        <v>601</v>
      </c>
      <c r="F63" s="84"/>
      <c r="G63" s="79"/>
      <c r="H63" s="79"/>
      <c r="I63" s="79"/>
      <c r="J63" s="83"/>
    </row>
    <row r="64" spans="1:10" ht="15.75" hidden="1">
      <c r="A64" s="78"/>
      <c r="B64" s="79"/>
      <c r="C64" s="79"/>
      <c r="D64" s="80"/>
      <c r="E64" s="76" t="s">
        <v>602</v>
      </c>
      <c r="F64" s="82"/>
      <c r="G64" s="82"/>
      <c r="H64" s="82"/>
      <c r="I64" s="82"/>
      <c r="J64" s="83"/>
    </row>
    <row r="65" spans="1:10" ht="15.75" hidden="1">
      <c r="A65" s="78"/>
      <c r="B65" s="79"/>
      <c r="C65" s="79"/>
      <c r="D65" s="80"/>
      <c r="E65" s="76" t="s">
        <v>603</v>
      </c>
      <c r="F65" s="84"/>
      <c r="G65" s="79"/>
      <c r="H65" s="79"/>
      <c r="I65" s="79"/>
      <c r="J65" s="83"/>
    </row>
    <row r="66" spans="1:10" hidden="1">
      <c r="A66" s="78"/>
      <c r="B66" s="79"/>
      <c r="C66" s="79"/>
      <c r="D66" s="80"/>
      <c r="E66" s="69"/>
      <c r="F66" s="84"/>
      <c r="G66" s="79"/>
      <c r="H66" s="79"/>
      <c r="I66" s="79"/>
      <c r="J66" s="83"/>
    </row>
    <row r="67" spans="1:10" ht="15.75" hidden="1">
      <c r="A67" s="78"/>
      <c r="B67" s="79"/>
      <c r="C67" s="79"/>
      <c r="D67" s="80"/>
      <c r="E67" s="76" t="s">
        <v>604</v>
      </c>
      <c r="F67" s="84"/>
      <c r="G67" s="79"/>
      <c r="H67" s="79"/>
      <c r="I67" s="79"/>
      <c r="J67" s="83"/>
    </row>
    <row r="68" spans="1:10" ht="15.75" hidden="1">
      <c r="A68" s="78"/>
      <c r="B68" s="79"/>
      <c r="C68" s="79"/>
      <c r="D68" s="80"/>
      <c r="E68" s="76"/>
      <c r="F68" s="84"/>
      <c r="G68" s="79"/>
      <c r="H68" s="79"/>
      <c r="I68" s="79"/>
      <c r="J68" s="83"/>
    </row>
    <row r="69" spans="1:10" ht="15.75" hidden="1">
      <c r="A69" s="78"/>
      <c r="B69" s="79"/>
      <c r="C69" s="79"/>
      <c r="D69" s="80"/>
      <c r="E69" s="76"/>
      <c r="F69" s="84"/>
      <c r="G69" s="79"/>
      <c r="H69" s="79"/>
      <c r="I69" s="79"/>
      <c r="J69" s="83"/>
    </row>
    <row r="70" spans="1:10" ht="16.899999999999999" hidden="1">
      <c r="A70" s="937"/>
      <c r="B70" s="938"/>
      <c r="C70" s="938"/>
      <c r="D70" s="939"/>
      <c r="E70" s="76"/>
      <c r="F70" s="89"/>
      <c r="G70" s="89"/>
      <c r="H70" s="89"/>
      <c r="I70" s="89"/>
      <c r="J70" s="83"/>
    </row>
    <row r="71" spans="1:10" ht="16.899999999999999" hidden="1">
      <c r="A71" s="73"/>
      <c r="B71" s="74"/>
      <c r="C71" s="74"/>
      <c r="D71" s="85"/>
      <c r="E71" s="96"/>
      <c r="F71" s="89"/>
      <c r="G71" s="89"/>
      <c r="H71" s="89"/>
      <c r="I71" s="89"/>
      <c r="J71" s="83"/>
    </row>
    <row r="72" spans="1:10" ht="15.75" hidden="1">
      <c r="A72" s="78"/>
      <c r="B72" s="79"/>
      <c r="C72" s="79"/>
      <c r="D72" s="80"/>
      <c r="E72" s="69"/>
      <c r="F72" s="88"/>
      <c r="G72" s="88"/>
      <c r="H72" s="88"/>
      <c r="I72" s="88"/>
      <c r="J72" s="83"/>
    </row>
    <row r="73" spans="1:10" ht="16.149999999999999" hidden="1" thickBot="1">
      <c r="A73" s="90"/>
      <c r="B73" s="91"/>
      <c r="C73" s="91"/>
      <c r="D73" s="92"/>
      <c r="E73" s="93"/>
      <c r="F73" s="94"/>
      <c r="G73" s="94"/>
      <c r="H73" s="94"/>
      <c r="I73" s="94"/>
      <c r="J73" s="95"/>
    </row>
    <row r="74" spans="1:10" ht="16.149999999999999" hidden="1" thickBot="1">
      <c r="A74" s="70"/>
      <c r="B74" s="71"/>
      <c r="C74" s="71"/>
      <c r="D74" s="71"/>
      <c r="E74" s="71"/>
      <c r="F74" s="72"/>
      <c r="G74" s="71"/>
      <c r="H74" s="71"/>
      <c r="I74" s="71"/>
      <c r="J74" s="126" t="s">
        <v>605</v>
      </c>
    </row>
  </sheetData>
  <mergeCells count="30">
    <mergeCell ref="A1:J1"/>
    <mergeCell ref="A3:A11"/>
    <mergeCell ref="B3:J11"/>
    <mergeCell ref="A12:A25"/>
    <mergeCell ref="B12:B13"/>
    <mergeCell ref="C12:C13"/>
    <mergeCell ref="D12:E12"/>
    <mergeCell ref="F12:F13"/>
    <mergeCell ref="G12:G13"/>
    <mergeCell ref="H12:H13"/>
    <mergeCell ref="I12:I13"/>
    <mergeCell ref="J12:J13"/>
    <mergeCell ref="B14:B18"/>
    <mergeCell ref="B19:B21"/>
    <mergeCell ref="B22:B25"/>
    <mergeCell ref="B2:J2"/>
    <mergeCell ref="C26:D26"/>
    <mergeCell ref="F26:H26"/>
    <mergeCell ref="A70:D70"/>
    <mergeCell ref="F27:H27"/>
    <mergeCell ref="A29:J29"/>
    <mergeCell ref="A30:D30"/>
    <mergeCell ref="E30:J30"/>
    <mergeCell ref="A40:D40"/>
    <mergeCell ref="A42:D42"/>
    <mergeCell ref="A53:D53"/>
    <mergeCell ref="A55:D55"/>
    <mergeCell ref="A59:J59"/>
    <mergeCell ref="A60:D60"/>
    <mergeCell ref="E60:J60"/>
  </mergeCells>
  <phoneticPr fontId="2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7AB9D8-1400-432F-BF7A-49C78F71A505}">
  <sheetPr>
    <tabColor theme="3" tint="-0.499984740745262"/>
  </sheetPr>
  <dimension ref="A1:L28"/>
  <sheetViews>
    <sheetView showGridLines="0" workbookViewId="0">
      <selection activeCell="H31" sqref="H31"/>
    </sheetView>
  </sheetViews>
  <sheetFormatPr defaultRowHeight="14.25"/>
  <cols>
    <col min="1" max="1" width="8.46484375" customWidth="1"/>
    <col min="2" max="2" width="7.6640625" customWidth="1"/>
    <col min="3" max="3" width="10.6640625" customWidth="1"/>
    <col min="4" max="4" width="23.46484375" customWidth="1"/>
    <col min="5" max="5" width="26.3984375" customWidth="1"/>
    <col min="10" max="10" width="21.06640625" bestFit="1" customWidth="1"/>
  </cols>
  <sheetData>
    <row r="1" spans="1:12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2" ht="25.15" thickBot="1">
      <c r="A2" s="162" t="s">
        <v>571</v>
      </c>
      <c r="B2" s="985" t="s">
        <v>1100</v>
      </c>
      <c r="C2" s="986"/>
      <c r="D2" s="986"/>
      <c r="E2" s="986"/>
      <c r="F2" s="986"/>
      <c r="G2" s="986"/>
      <c r="H2" s="986"/>
      <c r="I2" s="986"/>
      <c r="J2" s="987"/>
    </row>
    <row r="3" spans="1:12">
      <c r="A3" s="955" t="s">
        <v>572</v>
      </c>
      <c r="B3" s="958"/>
      <c r="C3" s="960"/>
      <c r="D3" s="960"/>
      <c r="E3" s="960"/>
      <c r="F3" s="960"/>
      <c r="G3" s="960"/>
      <c r="H3" s="960"/>
      <c r="I3" s="960"/>
      <c r="J3" s="961"/>
    </row>
    <row r="4" spans="1:12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2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2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2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2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2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2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2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2" ht="19.149999999999999">
      <c r="A12" s="966" t="s">
        <v>626</v>
      </c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2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2" ht="16.5" customHeight="1">
      <c r="A14" s="967"/>
      <c r="B14" s="979"/>
      <c r="C14" s="175" t="s">
        <v>1107</v>
      </c>
      <c r="D14" s="130" t="str">
        <f>IFERROR(VLOOKUP(C14,MasterSheet!$B$6:$N$150,2,),"n/a")</f>
        <v>김자반</v>
      </c>
      <c r="E14" s="136" t="str">
        <f>IFERROR(VLOOKUP(C14,MasterSheet!$B$6:$N$150,3,),"n/a")</f>
        <v>GIMBORI (Crispy Seaweed)</v>
      </c>
      <c r="F14" s="239">
        <v>1</v>
      </c>
      <c r="G14" s="131" t="str">
        <f>IFERROR(VLOOKUP(C14,MasterSheet!$B$6:$N$150,10,),"n/a")</f>
        <v>g</v>
      </c>
      <c r="H14" s="323">
        <f>IFERROR(VLOOKUP(C14,MasterSheet!$B$6:$N$150,11,),"n/a")</f>
        <v>390.90909090909093</v>
      </c>
      <c r="I14" s="323">
        <f t="shared" ref="I14:I19" si="0">IFERROR(F14*H14,"-")</f>
        <v>390.90909090909093</v>
      </c>
      <c r="J14" s="166"/>
    </row>
    <row r="15" spans="1:12" ht="16.5" customHeight="1">
      <c r="A15" s="967"/>
      <c r="B15" s="979"/>
      <c r="C15" s="175" t="s">
        <v>725</v>
      </c>
      <c r="D15" s="130" t="str">
        <f>IFERROR(VLOOKUP(C15,MasterSheet!$B$6:$N$150,2,),"n/a")</f>
        <v>매운양념소스</v>
      </c>
      <c r="E15" s="130" t="str">
        <f>IFERROR(VLOOKUP($C$15,MasterSheet!$B$6:$N$150,3,),"n/a")</f>
        <v>Hot Spicy Sauce</v>
      </c>
      <c r="F15" s="238">
        <f>F16*16%</f>
        <v>88.888888888888886</v>
      </c>
      <c r="G15" s="131" t="str">
        <f>IFERROR(VLOOKUP(C15,MasterSheet!B7:N151,10,),"N/a")</f>
        <v>g</v>
      </c>
      <c r="H15" s="323">
        <f>IFERROR(VLOOKUP(C15,MasterSheet!$B$6:$N$150,11,),"N/a")</f>
        <v>135.85937500000003</v>
      </c>
      <c r="I15" s="323">
        <f t="shared" si="0"/>
        <v>12076.388888888891</v>
      </c>
      <c r="J15" s="167" t="s">
        <v>1292</v>
      </c>
    </row>
    <row r="16" spans="1:12" ht="16.899999999999999">
      <c r="A16" s="967"/>
      <c r="B16" s="979"/>
      <c r="C16" s="175" t="s">
        <v>631</v>
      </c>
      <c r="D16" s="130" t="str">
        <f>IFERROR(VLOOKUP($C$16,MasterSheet!$B$6:$N$150,2,),"n/a")</f>
        <v>신선육 (1.3kg)</v>
      </c>
      <c r="E16" s="130" t="str">
        <f>IFERROR(VLOOKUP($C$16,MasterSheet!$B$6:$N$150,3,),"n/a")</f>
        <v>Injected Whole Chicken (1.25kg)</v>
      </c>
      <c r="F16" s="239">
        <f>1250/9*4</f>
        <v>555.55555555555554</v>
      </c>
      <c r="G16" s="131" t="str">
        <f>IFERROR(VLOOKUP($C$16,MasterSheet!$B$6:$N$150,10,),"n/a")</f>
        <v>g</v>
      </c>
      <c r="H16" s="323">
        <f>IFERROR(VLOOKUP(C16,MasterSheet!$B$6:$N$150,11,),"N/a")</f>
        <v>34.314223999999996</v>
      </c>
      <c r="I16" s="323">
        <f t="shared" si="0"/>
        <v>19063.457777777774</v>
      </c>
      <c r="J16" s="167"/>
      <c r="L16" s="68"/>
    </row>
    <row r="17" spans="1:10" ht="16.899999999999999">
      <c r="A17" s="967"/>
      <c r="B17" s="979"/>
      <c r="C17" s="175" t="s">
        <v>4</v>
      </c>
      <c r="D17" s="136" t="str">
        <f>IFERROR(VLOOKUP(C17,MasterSheet!$B$6:$N$150,2,),"n/a")</f>
        <v>올리브치킨용배터믹스</v>
      </c>
      <c r="E17" s="136" t="str">
        <f>IFERROR(VLOOKUP(C17,MasterSheet!$B$6:$N$150,3,),"n/a")</f>
        <v>Battering Powder Mix</v>
      </c>
      <c r="F17" s="239">
        <f>F16*0.175</f>
        <v>97.222222222222214</v>
      </c>
      <c r="G17" s="131" t="str">
        <f>IFERROR(VLOOKUP(C17,MasterSheet!$B$6:$N$150,10,),"n/a")</f>
        <v>g</v>
      </c>
      <c r="H17" s="323">
        <f>IFERROR(VLOOKUP(C17,MasterSheet!$B$6:$N$150,11,),"n/a")</f>
        <v>81.617647058823536</v>
      </c>
      <c r="I17" s="323">
        <f t="shared" si="0"/>
        <v>7935.0490196078435</v>
      </c>
      <c r="J17" s="167" t="s">
        <v>1094</v>
      </c>
    </row>
    <row r="18" spans="1:10" ht="16.899999999999999">
      <c r="A18" s="967"/>
      <c r="B18" s="979"/>
      <c r="C18" s="175" t="s">
        <v>757</v>
      </c>
      <c r="D18" s="130" t="str">
        <f>IFERROR(VLOOKUP(C18,MasterSheet!$B$6:$N$150,2,),"n/a")</f>
        <v>올리브치킨용마리네이드</v>
      </c>
      <c r="E18" s="136" t="str">
        <f>IFERROR(VLOOKUP(C18,MasterSheet!$B$6:$N$150,3,),"n/a")</f>
        <v xml:space="preserve">Marinade Powder Mix </v>
      </c>
      <c r="F18" s="252">
        <f>F16*0.012</f>
        <v>6.666666666666667</v>
      </c>
      <c r="G18" s="131" t="str">
        <f>IFERROR(VLOOKUP(C18,MasterSheet!$B$6:$N$150,10,),"n/a")</f>
        <v>g</v>
      </c>
      <c r="H18" s="323">
        <f>IFERROR(VLOOKUP(C18,MasterSheet!$B$6:$N$150,11,),"n/a")</f>
        <v>117.51275510204081</v>
      </c>
      <c r="I18" s="323">
        <f t="shared" si="0"/>
        <v>783.41836734693879</v>
      </c>
      <c r="J18" s="168" t="s">
        <v>1095</v>
      </c>
    </row>
    <row r="19" spans="1:10" ht="16.899999999999999">
      <c r="A19" s="967"/>
      <c r="B19" s="980"/>
      <c r="C19" s="175" t="s">
        <v>999</v>
      </c>
      <c r="D19" s="130" t="str">
        <f>IFERROR(VLOOKUP(C19,MasterSheet!$B$6:$N$150,2,),"n/a")</f>
        <v>팜유</v>
      </c>
      <c r="E19" s="136" t="str">
        <f>IFERROR(VLOOKUP(C19,MasterSheet!$B$6:$N$150,3,),"n/a")</f>
        <v>Palm Oil</v>
      </c>
      <c r="F19" s="239">
        <f>F16*0.1</f>
        <v>55.555555555555557</v>
      </c>
      <c r="G19" s="131" t="str">
        <f>IFERROR(VLOOKUP(C19,MasterSheet!$B$6:$N$150,10,),"n/a")</f>
        <v>g</v>
      </c>
      <c r="H19" s="323">
        <f>IFERROR(VLOOKUP(C19,MasterSheet!$B$6:$N$150,11,),"n/a")</f>
        <v>25.580404040404041</v>
      </c>
      <c r="I19" s="323">
        <f t="shared" si="0"/>
        <v>1421.1335578002245</v>
      </c>
      <c r="J19" s="168" t="s">
        <v>1106</v>
      </c>
    </row>
    <row r="20" spans="1:10" ht="28.5">
      <c r="A20" s="967"/>
      <c r="B20" s="991" t="s">
        <v>622</v>
      </c>
      <c r="C20" s="175" t="s">
        <v>567</v>
      </c>
      <c r="D20" s="140" t="str">
        <f>VLOOKUP(C20,CK!$B$8:$L$11,3,)</f>
        <v>올리브배터믹스솔루션</v>
      </c>
      <c r="E20" s="140" t="str">
        <f>VLOOKUP(C20,CK!$B$8:$L$11,4,)</f>
        <v>Battering Powder Mix Solution(White)</v>
      </c>
      <c r="F20" s="239">
        <f>F16*20%</f>
        <v>111.11111111111111</v>
      </c>
      <c r="G20" s="141" t="str">
        <f>VLOOKUP(C20,CK!$B$8:$L$11,9,)</f>
        <v>g</v>
      </c>
      <c r="H20" s="324">
        <f>VLOOKUP(C20,CK!$B$8:$L$11,10,)</f>
        <v>30.23</v>
      </c>
      <c r="I20" s="324">
        <f>F20*H20</f>
        <v>3358.8888888888891</v>
      </c>
      <c r="J20" s="170" t="s">
        <v>911</v>
      </c>
    </row>
    <row r="21" spans="1:10" ht="16.899999999999999">
      <c r="A21" s="967"/>
      <c r="B21" s="992"/>
      <c r="C21" s="175" t="s">
        <v>1090</v>
      </c>
      <c r="D21" s="140" t="str">
        <f>VLOOKUP(C21,CK!$B$8:$L$283,3,)</f>
        <v>공기밥</v>
      </c>
      <c r="E21" s="140" t="str">
        <f>VLOOKUP(C21,CK!$B$8:$L$283,4,)</f>
        <v>Steamed Rice</v>
      </c>
      <c r="F21" s="239">
        <v>180</v>
      </c>
      <c r="G21" s="141" t="str">
        <f>VLOOKUP(C21,CK!$B$8:$L$283,9,)</f>
        <v>g</v>
      </c>
      <c r="H21" s="324">
        <f>VLOOKUP(C21,CK!$B$8:$L$283,10,)</f>
        <v>4.833333333333333</v>
      </c>
      <c r="I21" s="324">
        <f>F21*H21</f>
        <v>870</v>
      </c>
      <c r="J21" s="170"/>
    </row>
    <row r="22" spans="1:10" ht="16.899999999999999">
      <c r="A22" s="967"/>
      <c r="B22" s="992"/>
      <c r="C22" s="175" t="s">
        <v>1175</v>
      </c>
      <c r="D22" s="140" t="str">
        <f>VLOOKUP(C22,CK!$B$8:$L$283,3,)</f>
        <v>매운양념 연유소스</v>
      </c>
      <c r="E22" s="140" t="str">
        <f>VLOOKUP(C22,CK!$B$8:$L$283,4,)</f>
        <v>Hot spicy milky sauce</v>
      </c>
      <c r="F22" s="239"/>
      <c r="G22" s="141" t="str">
        <f>VLOOKUP(C22,CK!$B$8:$L$283,9,)</f>
        <v>g</v>
      </c>
      <c r="H22" s="324">
        <f>VLOOKUP(C22,CK!$B$8:$L$283,10,)</f>
        <v>48.79349046015713</v>
      </c>
      <c r="I22" s="324">
        <f>F22*H22</f>
        <v>0</v>
      </c>
      <c r="J22" s="170"/>
    </row>
    <row r="23" spans="1:10" ht="16.899999999999999">
      <c r="A23" s="967"/>
      <c r="B23" s="976" t="s">
        <v>1099</v>
      </c>
      <c r="C23" s="175" t="s">
        <v>1076</v>
      </c>
      <c r="D23" s="145" t="str">
        <f>IFERROR(VLOOKUP(C23,MasterSheet!$B$6:$N$342,2,),"n/a")</f>
        <v>음료 패키지(16oz)</v>
      </c>
      <c r="E23" s="145" t="str">
        <f>IFERROR(VLOOKUP(C23,MasterSheet!$B$6:$N$342,3,),"n/a")</f>
        <v>Drink Package(16oz)</v>
      </c>
      <c r="F23" s="239">
        <v>1</v>
      </c>
      <c r="G23" s="147" t="str">
        <f>IFERROR(VLOOKUP(C23,MasterSheet!$B$6:$N$342,10,),"n/a")</f>
        <v>ea</v>
      </c>
      <c r="H23" s="325">
        <f>IFERROR(VLOOKUP(C23,MasterSheet!$B$6:$N$342,11,),"n/a")</f>
        <v>750</v>
      </c>
      <c r="I23" s="325">
        <f>IFERROR(F23*H23,"-")</f>
        <v>750</v>
      </c>
      <c r="J23" s="171"/>
    </row>
    <row r="24" spans="1:10" ht="16.899999999999999">
      <c r="A24" s="967"/>
      <c r="B24" s="976"/>
      <c r="C24" s="175" t="s">
        <v>1097</v>
      </c>
      <c r="D24" s="145" t="str">
        <f>IFERROR(VLOOKUP(C24,MasterSheet!$B$6:$N$342,2,),"n/a")</f>
        <v>콤보 패키지</v>
      </c>
      <c r="E24" s="145" t="str">
        <f>IFERROR(VLOOKUP(C24,MasterSheet!$B$6:$N$342,3,),"n/a")</f>
        <v>Combo Package</v>
      </c>
      <c r="F24" s="239">
        <v>1</v>
      </c>
      <c r="G24" s="147" t="str">
        <f>IFERROR(VLOOKUP(C24,MasterSheet!$B$6:$N$342,10,),"n/a")</f>
        <v>ea</v>
      </c>
      <c r="H24" s="325">
        <f>IFERROR(VLOOKUP(C24,MasterSheet!$B$6:$N$342,11,),"n/a")</f>
        <v>1204</v>
      </c>
      <c r="I24" s="325">
        <f>IFERROR(F24*H24,"-")</f>
        <v>1204</v>
      </c>
      <c r="J24" s="171"/>
    </row>
    <row r="25" spans="1:10" ht="28.9" thickBot="1">
      <c r="A25" s="968"/>
      <c r="B25" s="977"/>
      <c r="C25" s="427" t="s">
        <v>1150</v>
      </c>
      <c r="D25" s="145" t="str">
        <f>IFERROR(VLOOKUP(C25,MasterSheet!$B$6:$N$342,2,),"n/a")</f>
        <v>유산지</v>
      </c>
      <c r="E25" s="145" t="str">
        <f>IFERROR(VLOOKUP(C25,MasterSheet!$B$6:$N$342,3,),"n/a")</f>
        <v>PARCHMENT PAPER / WRAPPING RICE</v>
      </c>
      <c r="F25" s="244">
        <v>1</v>
      </c>
      <c r="G25" s="147" t="str">
        <f>IFERROR(VLOOKUP(C25,MasterSheet!$B$6:$N$342,10,),"n/a")</f>
        <v>ea</v>
      </c>
      <c r="H25" s="325">
        <f>IFERROR(VLOOKUP(C25,MasterSheet!$B$6:$N$342,11,),"n/a")</f>
        <v>216.45</v>
      </c>
      <c r="I25" s="325">
        <f>IFERROR(F25*H25,"-")</f>
        <v>216.45</v>
      </c>
      <c r="J25" s="172"/>
    </row>
    <row r="26" spans="1:10" ht="17.25" thickBot="1">
      <c r="A26" s="993" t="s">
        <v>614</v>
      </c>
      <c r="B26" s="994"/>
      <c r="C26" s="995" t="s">
        <v>624</v>
      </c>
      <c r="D26" s="996"/>
      <c r="E26" s="343"/>
      <c r="F26" s="997" t="s">
        <v>625</v>
      </c>
      <c r="G26" s="997"/>
      <c r="H26" s="998"/>
      <c r="I26" s="338">
        <f>SUM(I14:I25)</f>
        <v>48069.69559121965</v>
      </c>
      <c r="J26" s="330" t="s">
        <v>790</v>
      </c>
    </row>
    <row r="27" spans="1:10" ht="17.25" thickBot="1">
      <c r="A27" s="337"/>
      <c r="B27" s="157"/>
      <c r="C27" s="158"/>
      <c r="D27" s="158"/>
      <c r="E27" s="160"/>
      <c r="F27" s="940" t="s">
        <v>789</v>
      </c>
      <c r="G27" s="940"/>
      <c r="H27" s="940"/>
      <c r="I27" s="340"/>
      <c r="J27" s="331" t="str">
        <f>IFERROR((I26/I27),"-")</f>
        <v>-</v>
      </c>
    </row>
    <row r="28" spans="1:10" ht="16.149999999999999" thickBot="1">
      <c r="A28" s="70"/>
      <c r="B28" s="97"/>
      <c r="C28" s="97"/>
      <c r="D28" s="97"/>
      <c r="E28" s="97"/>
      <c r="F28" s="98"/>
      <c r="G28" s="97"/>
      <c r="H28" s="97"/>
      <c r="I28" s="97"/>
      <c r="J28" s="127" t="s">
        <v>605</v>
      </c>
    </row>
  </sheetData>
  <mergeCells count="20">
    <mergeCell ref="A1:J1"/>
    <mergeCell ref="A3:A11"/>
    <mergeCell ref="B3:J11"/>
    <mergeCell ref="A12:A25"/>
    <mergeCell ref="B12:B13"/>
    <mergeCell ref="C12:C13"/>
    <mergeCell ref="D12:E12"/>
    <mergeCell ref="F12:F13"/>
    <mergeCell ref="G12:G13"/>
    <mergeCell ref="H12:H13"/>
    <mergeCell ref="B2:J2"/>
    <mergeCell ref="F27:H27"/>
    <mergeCell ref="I12:I13"/>
    <mergeCell ref="J12:J13"/>
    <mergeCell ref="B14:B19"/>
    <mergeCell ref="B20:B22"/>
    <mergeCell ref="B23:B25"/>
    <mergeCell ref="A26:B26"/>
    <mergeCell ref="C26:D26"/>
    <mergeCell ref="F26:H26"/>
  </mergeCells>
  <phoneticPr fontId="2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FEDE73-A57E-4417-8FD1-8412A16697AB}">
  <sheetPr>
    <tabColor theme="3" tint="-0.499984740745262"/>
  </sheetPr>
  <dimension ref="A1:L27"/>
  <sheetViews>
    <sheetView showGridLines="0" topLeftCell="A9" zoomScale="115" zoomScaleNormal="115" workbookViewId="0">
      <selection activeCell="H31" sqref="H31"/>
    </sheetView>
  </sheetViews>
  <sheetFormatPr defaultRowHeight="14.25"/>
  <cols>
    <col min="1" max="1" width="8.46484375" customWidth="1"/>
    <col min="2" max="2" width="7.6640625" customWidth="1"/>
    <col min="3" max="3" width="10.6640625" customWidth="1"/>
    <col min="4" max="4" width="23.46484375" customWidth="1"/>
    <col min="5" max="5" width="26.3984375" customWidth="1"/>
    <col min="9" max="9" width="10.664062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162" t="s">
        <v>571</v>
      </c>
      <c r="B2" s="163" t="s">
        <v>1098</v>
      </c>
      <c r="C2" s="163"/>
      <c r="D2" s="163"/>
      <c r="E2" s="163"/>
      <c r="F2" s="164"/>
      <c r="G2" s="163"/>
      <c r="H2" s="163"/>
      <c r="I2" s="163"/>
      <c r="J2" s="165"/>
    </row>
    <row r="3" spans="1:10">
      <c r="A3" s="955" t="s">
        <v>572</v>
      </c>
      <c r="B3" s="958"/>
      <c r="C3" s="960"/>
      <c r="D3" s="960"/>
      <c r="E3" s="960"/>
      <c r="F3" s="960"/>
      <c r="G3" s="960"/>
      <c r="H3" s="960"/>
      <c r="I3" s="960"/>
      <c r="J3" s="961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3"/>
      <c r="C14" s="175" t="s">
        <v>1107</v>
      </c>
      <c r="D14" s="130" t="str">
        <f>IFERROR(VLOOKUP($C$14,MasterSheet!$B$6:$N$150,2,),"n/a")</f>
        <v>김자반</v>
      </c>
      <c r="E14" s="130" t="str">
        <f>IFERROR(VLOOKUP($C$14,MasterSheet!$B$6:$N$150,3,),"n/a")</f>
        <v>GIMBORI (Crispy Seaweed)</v>
      </c>
      <c r="F14" s="320">
        <v>1</v>
      </c>
      <c r="G14" s="131" t="str">
        <f>IFERROR(VLOOKUP($C$15,MasterSheet!$B$6:$N$150,10,),"n/a")</f>
        <v>g</v>
      </c>
      <c r="H14" s="318">
        <f>IFERROR(VLOOKUP(C14,MasterSheet!$B$6:$N$150,11,),"N/a")</f>
        <v>390.90909090909093</v>
      </c>
      <c r="I14" s="318">
        <f>IFERROR(F14*H14,"-")</f>
        <v>390.90909090909093</v>
      </c>
      <c r="J14" s="422"/>
    </row>
    <row r="15" spans="1:10" ht="16.5" customHeight="1">
      <c r="A15" s="967"/>
      <c r="B15" s="973"/>
      <c r="C15" s="175" t="s">
        <v>631</v>
      </c>
      <c r="D15" s="130" t="str">
        <f>IFERROR(VLOOKUP($C$15,MasterSheet!$B$6:$N$150,2,),"n/a")</f>
        <v>신선육 (1.3kg)</v>
      </c>
      <c r="E15" s="130" t="str">
        <f>IFERROR(VLOOKUP($C$15,MasterSheet!$B$6:$N$150,3,),"n/a")</f>
        <v>Injected Whole Chicken (1.25kg)</v>
      </c>
      <c r="F15" s="321">
        <f>1250/9*4</f>
        <v>555.55555555555554</v>
      </c>
      <c r="G15" s="131" t="str">
        <f>IFERROR(VLOOKUP($C$15,MasterSheet!$B$6:$N$150,10,),"n/a")</f>
        <v>g</v>
      </c>
      <c r="H15" s="318">
        <f>IFERROR(VLOOKUP(C15,MasterSheet!$B$6:$N$150,11,),"N/a")</f>
        <v>34.314223999999996</v>
      </c>
      <c r="I15" s="318">
        <f>IFERROR(F15*H15,"-")</f>
        <v>19063.457777777774</v>
      </c>
      <c r="J15" s="423"/>
    </row>
    <row r="16" spans="1:10" ht="16.899999999999999">
      <c r="A16" s="967"/>
      <c r="B16" s="973"/>
      <c r="C16" s="175" t="s">
        <v>4</v>
      </c>
      <c r="D16" s="136" t="str">
        <f>IFERROR(VLOOKUP($C$16,MasterSheet!$B$6:$N$150,2,),"n/a")</f>
        <v>올리브치킨용배터믹스</v>
      </c>
      <c r="E16" s="136" t="str">
        <f>IFERROR(VLOOKUP($C$16,MasterSheet!$B$6:$N$150,3,),"n/a")</f>
        <v>Battering Powder Mix</v>
      </c>
      <c r="F16" s="239">
        <f>F15*0.175</f>
        <v>97.222222222222214</v>
      </c>
      <c r="G16" s="131" t="str">
        <f>IFERROR(VLOOKUP($C$16,MasterSheet!$B$6:$N$150,10,),"n/a")</f>
        <v>g</v>
      </c>
      <c r="H16" s="318">
        <f>IFERROR(VLOOKUP(C16,MasterSheet!$B$6:$N$150,11,),"N/a")</f>
        <v>81.617647058823536</v>
      </c>
      <c r="I16" s="318">
        <f>IFERROR(F16*H16,"-")</f>
        <v>7935.0490196078435</v>
      </c>
      <c r="J16" s="423" t="s">
        <v>1094</v>
      </c>
    </row>
    <row r="17" spans="1:12" ht="16.899999999999999">
      <c r="A17" s="967"/>
      <c r="B17" s="973"/>
      <c r="C17" s="175" t="s">
        <v>757</v>
      </c>
      <c r="D17" s="136" t="str">
        <f>IFERROR(VLOOKUP(C17,MasterSheet!$B$6:$N$150,2,),"n/a")</f>
        <v>올리브치킨용마리네이드</v>
      </c>
      <c r="E17" s="136" t="str">
        <f>IFERROR(VLOOKUP(C17,MasterSheet!$B$6:$N$150,3,),"n/a")</f>
        <v xml:space="preserve">Marinade Powder Mix </v>
      </c>
      <c r="F17" s="239">
        <f>F15*0.012</f>
        <v>6.666666666666667</v>
      </c>
      <c r="G17" s="131" t="str">
        <f>IFERROR(VLOOKUP(C17,MasterSheet!$B$6:$N$150,10,),"n/a")</f>
        <v>g</v>
      </c>
      <c r="H17" s="318">
        <f>IFERROR(VLOOKUP(C17,MasterSheet!$B$6:$N$150,11,),"n/a")</f>
        <v>117.51275510204081</v>
      </c>
      <c r="I17" s="318">
        <f>IFERROR(F17*H17,"-")</f>
        <v>783.41836734693879</v>
      </c>
      <c r="J17" s="424" t="s">
        <v>1095</v>
      </c>
      <c r="L17" s="68"/>
    </row>
    <row r="18" spans="1:12" ht="16.899999999999999">
      <c r="A18" s="967"/>
      <c r="B18" s="973"/>
      <c r="C18" s="175" t="s">
        <v>999</v>
      </c>
      <c r="D18" s="136" t="str">
        <f>IFERROR(VLOOKUP(C18,MasterSheet!$B$6:$N$150,2,),"n/a")</f>
        <v>팜유</v>
      </c>
      <c r="E18" s="136" t="str">
        <f>IFERROR(VLOOKUP(C18,MasterSheet!$B$6:$N$150,3,),"n/a")</f>
        <v>Palm Oil</v>
      </c>
      <c r="F18" s="239">
        <f>F15*0.1</f>
        <v>55.555555555555557</v>
      </c>
      <c r="G18" s="131" t="str">
        <f>IFERROR(VLOOKUP(C18,MasterSheet!$B$6:$N$150,10,),"n/a")</f>
        <v>g</v>
      </c>
      <c r="H18" s="318">
        <f>IFERROR(VLOOKUP(C18,MasterSheet!$B$6:$N$150,11,),"n/a")</f>
        <v>25.580404040404041</v>
      </c>
      <c r="I18" s="318">
        <f>IFERROR(F18*H18,"-")</f>
        <v>1421.1335578002245</v>
      </c>
      <c r="J18" s="424" t="s">
        <v>1106</v>
      </c>
    </row>
    <row r="19" spans="1:12" ht="28.5">
      <c r="A19" s="967"/>
      <c r="B19" s="974" t="s">
        <v>622</v>
      </c>
      <c r="C19" s="175" t="s">
        <v>567</v>
      </c>
      <c r="D19" s="140" t="str">
        <f>VLOOKUP(C19,CK!$B$8:$L$11,3,)</f>
        <v>올리브배터믹스솔루션</v>
      </c>
      <c r="E19" s="140" t="str">
        <f>VLOOKUP(C19,CK!$B$8:$L$11,4,)</f>
        <v>Battering Powder Mix Solution(White)</v>
      </c>
      <c r="F19" s="239">
        <f>F15*0.2</f>
        <v>111.11111111111111</v>
      </c>
      <c r="G19" s="141" t="str">
        <f>VLOOKUP(C19,CK!$B$8:$L$11,9,)</f>
        <v>g</v>
      </c>
      <c r="H19" s="319">
        <f>VLOOKUP(C19,CK!$B$8:$L$11,10,)</f>
        <v>30.23</v>
      </c>
      <c r="I19" s="319">
        <f>F19*H19</f>
        <v>3358.8888888888891</v>
      </c>
      <c r="J19" s="425" t="s">
        <v>786</v>
      </c>
    </row>
    <row r="20" spans="1:12" ht="16.899999999999999">
      <c r="A20" s="967"/>
      <c r="B20" s="974"/>
      <c r="C20" s="175" t="s">
        <v>1283</v>
      </c>
      <c r="D20" s="140" t="str">
        <f>VLOOKUP(C20,CK!$B$8:$L$283,3,)</f>
        <v>탄산음료</v>
      </c>
      <c r="E20" s="140" t="str">
        <f>VLOOKUP(C20,CK!$B$8:$L$283,4,)</f>
        <v>Soft Drink</v>
      </c>
      <c r="F20" s="239">
        <v>250</v>
      </c>
      <c r="G20" s="141" t="str">
        <f>VLOOKUP(C20,CK!$B$8:$L$283,9,)</f>
        <v>ml</v>
      </c>
      <c r="H20" s="324">
        <f>VLOOKUP(C20,CK!$B$8:$L$283,10,)</f>
        <v>8.9157788757136593</v>
      </c>
      <c r="I20" s="324">
        <f>F20*H20</f>
        <v>2228.9447189284147</v>
      </c>
      <c r="J20" s="425"/>
    </row>
    <row r="21" spans="1:12" ht="16.899999999999999">
      <c r="A21" s="967"/>
      <c r="B21" s="974"/>
      <c r="C21" s="175" t="s">
        <v>1090</v>
      </c>
      <c r="D21" s="140" t="str">
        <f>VLOOKUP(C21,CK!$B$8:$L$283,3,)</f>
        <v>공기밥</v>
      </c>
      <c r="E21" s="140" t="str">
        <f>VLOOKUP(C21,CK!$B$8:$L$283,4,)</f>
        <v>Steamed Rice</v>
      </c>
      <c r="F21" s="239">
        <v>180</v>
      </c>
      <c r="G21" s="141" t="str">
        <f>VLOOKUP(C21,CK!$B$8:$L$283,9,)</f>
        <v>g</v>
      </c>
      <c r="H21" s="319">
        <f>VLOOKUP(C21,CK!$B$8:$L$283,10,)</f>
        <v>4.833333333333333</v>
      </c>
      <c r="I21" s="319">
        <f>F21*H21</f>
        <v>870</v>
      </c>
      <c r="J21" s="425"/>
    </row>
    <row r="22" spans="1:12" ht="17.45" customHeight="1">
      <c r="A22" s="967"/>
      <c r="B22" s="975" t="s">
        <v>623</v>
      </c>
      <c r="C22" s="175" t="s">
        <v>1076</v>
      </c>
      <c r="D22" s="145" t="str">
        <f>IFERROR(VLOOKUP(C22,MasterSheet!$B$6:$N$342,2,),"n/a")</f>
        <v>음료 패키지(16oz)</v>
      </c>
      <c r="E22" s="145" t="str">
        <f>IFERROR(VLOOKUP(C22,MasterSheet!$B$6:$N$342,3,),"n/a")</f>
        <v>Drink Package(16oz)</v>
      </c>
      <c r="F22" s="239">
        <v>1</v>
      </c>
      <c r="G22" s="147" t="str">
        <f>IFERROR(VLOOKUP(C22,MasterSheet!$B$6:$N$342,10,),"n/a")</f>
        <v>ea</v>
      </c>
      <c r="H22" s="322">
        <f>IFERROR(VLOOKUP(C22,MasterSheet!$B$6:$N$342,11,),"n/a")</f>
        <v>750</v>
      </c>
      <c r="I22" s="322">
        <f>IFERROR(F22*H22,"-")</f>
        <v>750</v>
      </c>
      <c r="J22" s="426"/>
    </row>
    <row r="23" spans="1:12" ht="16.899999999999999">
      <c r="A23" s="967"/>
      <c r="B23" s="976"/>
      <c r="C23" s="175" t="s">
        <v>1097</v>
      </c>
      <c r="D23" s="145" t="str">
        <f>IFERROR(VLOOKUP(C23,MasterSheet!$B$6:$N$342,2,),"n/a")</f>
        <v>콤보 패키지</v>
      </c>
      <c r="E23" s="145" t="str">
        <f>IFERROR(VLOOKUP(C23,MasterSheet!$B$6:$N$342,3,),"n/a")</f>
        <v>Combo Package</v>
      </c>
      <c r="F23" s="239">
        <v>1</v>
      </c>
      <c r="G23" s="147" t="str">
        <f>IFERROR(VLOOKUP(C23,MasterSheet!$B$6:$N$342,10,),"n/a")</f>
        <v>ea</v>
      </c>
      <c r="H23" s="322">
        <f>IFERROR(VLOOKUP(C23,MasterSheet!$B$6:$N$342,11,),"n/a")</f>
        <v>1204</v>
      </c>
      <c r="I23" s="322">
        <f>IFERROR(F23*H23,"-")</f>
        <v>1204</v>
      </c>
      <c r="J23" s="426"/>
    </row>
    <row r="24" spans="1:12" ht="28.5">
      <c r="A24" s="366"/>
      <c r="B24" s="999"/>
      <c r="C24" s="175" t="s">
        <v>1150</v>
      </c>
      <c r="D24" s="145" t="str">
        <f>IFERROR(VLOOKUP(C24,MasterSheet!$B$6:$N$342,2,),"n/a")</f>
        <v>유산지</v>
      </c>
      <c r="E24" s="145" t="str">
        <f>IFERROR(VLOOKUP(C24,MasterSheet!$B$6:$N$342,3,),"n/a")</f>
        <v>PARCHMENT PAPER / WRAPPING RICE</v>
      </c>
      <c r="F24" s="239">
        <v>1</v>
      </c>
      <c r="G24" s="147" t="str">
        <f>IFERROR(VLOOKUP(C24,MasterSheet!$B$6:$N$342,10,),"n/a")</f>
        <v>ea</v>
      </c>
      <c r="H24" s="322">
        <f>IFERROR(VLOOKUP(C24,MasterSheet!$B$6:$N$342,11,),"n/a")</f>
        <v>216.45</v>
      </c>
      <c r="I24" s="322">
        <f>IFERROR(F24*H24,"-")</f>
        <v>216.45</v>
      </c>
      <c r="J24" s="426"/>
    </row>
    <row r="25" spans="1:12" ht="17.25" thickBot="1">
      <c r="A25" s="156"/>
      <c r="B25" s="157" t="s">
        <v>614</v>
      </c>
      <c r="C25" s="1000" t="s">
        <v>624</v>
      </c>
      <c r="D25" s="1000"/>
      <c r="E25" s="339"/>
      <c r="F25" s="1001" t="s">
        <v>625</v>
      </c>
      <c r="G25" s="1001"/>
      <c r="H25" s="1001"/>
      <c r="I25" s="339">
        <f>SUM(I14:I23)</f>
        <v>38005.801421259181</v>
      </c>
      <c r="J25" s="330" t="s">
        <v>790</v>
      </c>
    </row>
    <row r="26" spans="1:12" ht="17.25" thickBot="1">
      <c r="A26" s="156"/>
      <c r="B26" s="157"/>
      <c r="C26" s="158"/>
      <c r="D26" s="159"/>
      <c r="E26" s="159"/>
      <c r="F26" s="940" t="s">
        <v>789</v>
      </c>
      <c r="G26" s="940"/>
      <c r="H26" s="940"/>
      <c r="I26" s="340"/>
      <c r="J26" s="331" t="str">
        <f>IFERROR((I25/I26),"-")</f>
        <v>-</v>
      </c>
    </row>
    <row r="27" spans="1:12" ht="16.149999999999999" thickBot="1">
      <c r="A27" s="70"/>
      <c r="B27" s="97"/>
      <c r="C27" s="97"/>
      <c r="D27" s="97"/>
      <c r="E27" s="97"/>
      <c r="F27" s="98"/>
      <c r="G27" s="97"/>
      <c r="H27" s="97"/>
      <c r="I27" s="97"/>
      <c r="J27" s="127" t="s">
        <v>605</v>
      </c>
    </row>
  </sheetData>
  <mergeCells count="18">
    <mergeCell ref="A1:J1"/>
    <mergeCell ref="A3:A11"/>
    <mergeCell ref="B3:J11"/>
    <mergeCell ref="A12:A23"/>
    <mergeCell ref="B12:B13"/>
    <mergeCell ref="C12:C13"/>
    <mergeCell ref="D12:E12"/>
    <mergeCell ref="F12:F13"/>
    <mergeCell ref="G12:G13"/>
    <mergeCell ref="H12:H13"/>
    <mergeCell ref="F26:H26"/>
    <mergeCell ref="I12:I13"/>
    <mergeCell ref="J12:J13"/>
    <mergeCell ref="B14:B18"/>
    <mergeCell ref="B19:B21"/>
    <mergeCell ref="B22:B24"/>
    <mergeCell ref="C25:D25"/>
    <mergeCell ref="F25:H25"/>
  </mergeCells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3F9486-84DD-4512-9FCA-6D6390354702}">
  <sheetPr>
    <tabColor theme="9"/>
  </sheetPr>
  <dimension ref="B1:AL142"/>
  <sheetViews>
    <sheetView showGridLines="0" tabSelected="1" topLeftCell="C1" zoomScale="80" zoomScaleNormal="80" workbookViewId="0">
      <selection activeCell="AF1" sqref="AF1:AL1048576"/>
    </sheetView>
  </sheetViews>
  <sheetFormatPr defaultColWidth="8.796875" defaultRowHeight="14.25"/>
  <cols>
    <col min="1" max="2" width="8.796875" style="100"/>
    <col min="3" max="3" width="44.06640625" style="100" bestFit="1" customWidth="1"/>
    <col min="4" max="4" width="8.86328125" style="100" hidden="1" customWidth="1"/>
    <col min="5" max="5" width="4.9296875" style="100" hidden="1" customWidth="1"/>
    <col min="6" max="6" width="10.86328125" style="100" bestFit="1" customWidth="1"/>
    <col min="7" max="7" width="6.19921875" style="723" bestFit="1" customWidth="1"/>
    <col min="8" max="8" width="12.19921875" style="100" bestFit="1" customWidth="1"/>
    <col min="9" max="9" width="10.46484375" style="100" bestFit="1" customWidth="1"/>
    <col min="10" max="10" width="7.3984375" style="100" bestFit="1" customWidth="1"/>
    <col min="11" max="11" width="9.53125" style="100" bestFit="1" customWidth="1"/>
    <col min="12" max="12" width="10.3984375" style="100" bestFit="1" customWidth="1"/>
    <col min="13" max="13" width="7.3984375" style="100" bestFit="1" customWidth="1"/>
    <col min="14" max="14" width="9.53125" style="100" bestFit="1" customWidth="1"/>
    <col min="15" max="15" width="10.3984375" style="100" bestFit="1" customWidth="1"/>
    <col min="16" max="16" width="7.3984375" style="100" bestFit="1" customWidth="1"/>
    <col min="17" max="17" width="9.53125" style="100" bestFit="1" customWidth="1"/>
    <col min="18" max="18" width="10.3984375" style="100" bestFit="1" customWidth="1"/>
    <col min="19" max="19" width="7.3984375" style="100" bestFit="1" customWidth="1"/>
    <col min="20" max="20" width="9.53125" style="100" bestFit="1" customWidth="1"/>
    <col min="21" max="21" width="10.3984375" style="100" bestFit="1" customWidth="1"/>
    <col min="22" max="22" width="7.3984375" style="100" bestFit="1" customWidth="1"/>
    <col min="23" max="23" width="9.53125" style="100" bestFit="1" customWidth="1"/>
    <col min="24" max="24" width="10.33203125" style="100" bestFit="1" customWidth="1"/>
    <col min="25" max="27" width="12.46484375" style="100" bestFit="1" customWidth="1"/>
    <col min="28" max="29" width="12.53125" style="100" bestFit="1" customWidth="1"/>
    <col min="30" max="30" width="8.53125" style="100" bestFit="1" customWidth="1"/>
    <col min="31" max="31" width="17.6640625" style="100" bestFit="1" customWidth="1"/>
    <col min="32" max="32" width="4.6640625" style="1020" bestFit="1" customWidth="1"/>
    <col min="33" max="33" width="6.86328125" style="1003" bestFit="1" customWidth="1"/>
    <col min="34" max="35" width="6.86328125" style="1004" bestFit="1" customWidth="1"/>
    <col min="36" max="36" width="8.796875" style="1004"/>
    <col min="37" max="38" width="8.796875" style="1005"/>
    <col min="39" max="16384" width="8.796875" style="100"/>
  </cols>
  <sheetData>
    <row r="1" spans="2:36" ht="23.25">
      <c r="C1" s="869" t="s">
        <v>1507</v>
      </c>
      <c r="D1" s="870"/>
      <c r="E1" s="870"/>
      <c r="F1" s="870"/>
      <c r="G1" s="870"/>
      <c r="H1" s="870"/>
      <c r="I1" s="870"/>
      <c r="J1" s="870"/>
      <c r="K1" s="870"/>
      <c r="L1" s="870"/>
      <c r="M1" s="870"/>
      <c r="N1" s="870"/>
      <c r="O1" s="870"/>
      <c r="P1" s="870"/>
      <c r="Q1" s="870"/>
      <c r="R1" s="870"/>
      <c r="S1" s="870"/>
      <c r="T1" s="870"/>
      <c r="U1" s="870"/>
      <c r="V1" s="870"/>
      <c r="W1" s="870"/>
      <c r="X1" s="870"/>
      <c r="Y1" s="870"/>
      <c r="Z1" s="870"/>
      <c r="AA1" s="870"/>
      <c r="AB1" s="870"/>
      <c r="AC1" s="564"/>
      <c r="AD1" s="564"/>
      <c r="AE1" s="564"/>
      <c r="AF1" s="1002"/>
    </row>
    <row r="2" spans="2:36">
      <c r="C2" s="565"/>
      <c r="D2" s="565" t="s">
        <v>1508</v>
      </c>
      <c r="E2" s="565"/>
      <c r="F2" s="565"/>
      <c r="G2" s="716"/>
      <c r="H2" s="566"/>
      <c r="X2" s="729" t="s">
        <v>1866</v>
      </c>
      <c r="Y2" s="730">
        <v>83515990.917699993</v>
      </c>
      <c r="Z2" s="730"/>
      <c r="AA2" s="730"/>
      <c r="AB2" s="731"/>
      <c r="AC2" s="829"/>
      <c r="AD2" s="567"/>
      <c r="AE2" s="567"/>
      <c r="AF2" s="1002"/>
    </row>
    <row r="3" spans="2:36" ht="17.45" customHeight="1">
      <c r="B3" s="854" t="s">
        <v>608</v>
      </c>
      <c r="C3" s="871" t="s">
        <v>1509</v>
      </c>
      <c r="D3" s="872"/>
      <c r="E3" s="872"/>
      <c r="F3" s="872"/>
      <c r="G3" s="872"/>
      <c r="H3" s="872"/>
      <c r="I3" s="859" t="s">
        <v>1510</v>
      </c>
      <c r="J3" s="860"/>
      <c r="K3" s="860"/>
      <c r="L3" s="860"/>
      <c r="M3" s="860"/>
      <c r="N3" s="860"/>
      <c r="O3" s="860"/>
      <c r="P3" s="860"/>
      <c r="Q3" s="860"/>
      <c r="R3" s="860"/>
      <c r="S3" s="860"/>
      <c r="T3" s="860"/>
      <c r="U3" s="861"/>
      <c r="V3" s="828"/>
      <c r="W3" s="828"/>
      <c r="X3" s="725" t="s">
        <v>1864</v>
      </c>
      <c r="Y3" s="728">
        <f>Y6/Y2</f>
        <v>0.3911485958119269</v>
      </c>
      <c r="Z3" s="728" t="e">
        <f>Z6/Z2</f>
        <v>#DIV/0!</v>
      </c>
      <c r="AA3" s="728" t="e">
        <f>AA6/AA2</f>
        <v>#DIV/0!</v>
      </c>
      <c r="AB3" s="728" t="e">
        <f>AB6/AB2</f>
        <v>#DIV/0!</v>
      </c>
      <c r="AC3" s="728" t="e">
        <f>AC6/AC2</f>
        <v>#DIV/0!</v>
      </c>
      <c r="AD3" s="865" t="s">
        <v>1983</v>
      </c>
      <c r="AE3" s="862" t="s">
        <v>1661</v>
      </c>
      <c r="AF3" s="1006"/>
      <c r="AG3" s="1007"/>
      <c r="AH3" s="1007"/>
      <c r="AI3" s="1007"/>
    </row>
    <row r="4" spans="2:36" ht="17.45" customHeight="1">
      <c r="B4" s="854"/>
      <c r="C4" s="868" t="s">
        <v>573</v>
      </c>
      <c r="D4" s="568" t="s">
        <v>1511</v>
      </c>
      <c r="E4" s="568" t="s">
        <v>1512</v>
      </c>
      <c r="F4" s="868" t="s">
        <v>1513</v>
      </c>
      <c r="G4" s="717"/>
      <c r="H4" s="868" t="s">
        <v>1514</v>
      </c>
      <c r="I4" s="868" t="s">
        <v>1515</v>
      </c>
      <c r="J4" s="859" t="s">
        <v>1663</v>
      </c>
      <c r="K4" s="860"/>
      <c r="L4" s="861"/>
      <c r="M4" s="859" t="s">
        <v>1516</v>
      </c>
      <c r="N4" s="860"/>
      <c r="O4" s="861"/>
      <c r="P4" s="859" t="s">
        <v>1517</v>
      </c>
      <c r="Q4" s="860"/>
      <c r="R4" s="861"/>
      <c r="S4" s="859" t="s">
        <v>1662</v>
      </c>
      <c r="T4" s="860"/>
      <c r="U4" s="861"/>
      <c r="V4" s="859" t="s">
        <v>1984</v>
      </c>
      <c r="W4" s="861"/>
      <c r="X4" s="868" t="s">
        <v>1518</v>
      </c>
      <c r="Y4" s="726" t="s">
        <v>1861</v>
      </c>
      <c r="Z4" s="726" t="s">
        <v>1862</v>
      </c>
      <c r="AA4" s="726" t="s">
        <v>1863</v>
      </c>
      <c r="AB4" s="726" t="s">
        <v>1865</v>
      </c>
      <c r="AC4" s="726" t="s">
        <v>1985</v>
      </c>
      <c r="AD4" s="866"/>
      <c r="AE4" s="863"/>
      <c r="AF4" s="1008"/>
      <c r="AG4" s="1007"/>
      <c r="AH4" s="1007"/>
      <c r="AI4" s="1007"/>
    </row>
    <row r="5" spans="2:36">
      <c r="B5" s="854"/>
      <c r="C5" s="867"/>
      <c r="D5" s="568"/>
      <c r="E5" s="568"/>
      <c r="F5" s="867"/>
      <c r="G5" s="718"/>
      <c r="H5" s="867"/>
      <c r="I5" s="867"/>
      <c r="J5" s="569" t="s">
        <v>1777</v>
      </c>
      <c r="K5" s="674" t="s">
        <v>1776</v>
      </c>
      <c r="L5" s="570" t="s">
        <v>1664</v>
      </c>
      <c r="M5" s="569" t="s">
        <v>1777</v>
      </c>
      <c r="N5" s="674" t="s">
        <v>1776</v>
      </c>
      <c r="O5" s="570" t="s">
        <v>1664</v>
      </c>
      <c r="P5" s="569" t="s">
        <v>1777</v>
      </c>
      <c r="Q5" s="674" t="s">
        <v>1776</v>
      </c>
      <c r="R5" s="570" t="s">
        <v>1664</v>
      </c>
      <c r="S5" s="569" t="s">
        <v>1777</v>
      </c>
      <c r="T5" s="674" t="s">
        <v>1776</v>
      </c>
      <c r="U5" s="570" t="s">
        <v>1664</v>
      </c>
      <c r="V5" s="569" t="s">
        <v>1777</v>
      </c>
      <c r="W5" s="674" t="s">
        <v>1776</v>
      </c>
      <c r="X5" s="867"/>
      <c r="Y5" s="727" t="s">
        <v>755</v>
      </c>
      <c r="Z5" s="727" t="s">
        <v>755</v>
      </c>
      <c r="AA5" s="727" t="s">
        <v>755</v>
      </c>
      <c r="AB5" s="727" t="s">
        <v>755</v>
      </c>
      <c r="AC5" s="727" t="s">
        <v>755</v>
      </c>
      <c r="AD5" s="866"/>
      <c r="AE5" s="863"/>
      <c r="AF5" s="1008"/>
      <c r="AG5" s="1007"/>
      <c r="AH5" s="1007"/>
      <c r="AI5" s="1007"/>
    </row>
    <row r="6" spans="2:36">
      <c r="B6" s="854"/>
      <c r="C6" s="871" t="s">
        <v>1519</v>
      </c>
      <c r="D6" s="872"/>
      <c r="E6" s="872"/>
      <c r="F6" s="872"/>
      <c r="G6" s="872"/>
      <c r="H6" s="872"/>
      <c r="I6" s="872"/>
      <c r="J6" s="872"/>
      <c r="K6" s="872"/>
      <c r="L6" s="872"/>
      <c r="M6" s="872"/>
      <c r="N6" s="872"/>
      <c r="O6" s="872"/>
      <c r="P6" s="872"/>
      <c r="Q6" s="872"/>
      <c r="R6" s="872"/>
      <c r="S6" s="872"/>
      <c r="T6" s="872"/>
      <c r="U6" s="872"/>
      <c r="V6" s="872"/>
      <c r="W6" s="872"/>
      <c r="X6" s="872"/>
      <c r="Y6" s="568">
        <f>SUM(Y7,Y10,Y19,Y36,Y39,Y49,Y71,Y78,Y111)</f>
        <v>32667162.575299993</v>
      </c>
      <c r="Z6" s="568">
        <f>SUM(Z7,Z10,Z19,Z36,Z39,Z49,Z71,Z78,Z111)</f>
        <v>65503623.92270001</v>
      </c>
      <c r="AA6" s="568">
        <f>SUM(AA7,AA10,AA19,AA36,AA39,AA49,AA71,AA78,AA111)</f>
        <v>0</v>
      </c>
      <c r="AB6" s="568">
        <f>SUM(AB7,AB10,AB19,AB36,AB39,AB49,AB71,AB78,AB111)</f>
        <v>0</v>
      </c>
      <c r="AC6" s="568">
        <f>SUM(AC7,AC10,AC19,AC36,AC39,AC49,AC71,AC78,AC111)</f>
        <v>0</v>
      </c>
      <c r="AD6" s="867"/>
      <c r="AE6" s="864"/>
      <c r="AF6" s="1009"/>
      <c r="AG6" s="1007"/>
      <c r="AH6" s="1007"/>
      <c r="AI6" s="1007"/>
    </row>
    <row r="7" spans="2:36">
      <c r="B7" s="855" t="s">
        <v>1520</v>
      </c>
      <c r="C7" s="855"/>
      <c r="D7" s="855"/>
      <c r="E7" s="855"/>
      <c r="F7" s="855"/>
      <c r="G7" s="855"/>
      <c r="H7" s="855"/>
      <c r="I7" s="855"/>
      <c r="J7" s="855"/>
      <c r="K7" s="855"/>
      <c r="L7" s="855"/>
      <c r="M7" s="855"/>
      <c r="N7" s="855"/>
      <c r="O7" s="855"/>
      <c r="P7" s="855"/>
      <c r="Q7" s="855"/>
      <c r="R7" s="855"/>
      <c r="S7" s="855"/>
      <c r="T7" s="855"/>
      <c r="U7" s="855"/>
      <c r="V7" s="855"/>
      <c r="W7" s="855"/>
      <c r="X7" s="855"/>
      <c r="Y7" s="571">
        <f>SUM(Y8:Y9)</f>
        <v>13168083.459999999</v>
      </c>
      <c r="Z7" s="571">
        <f>SUM(Z8:Z9)</f>
        <v>9522197.1600000001</v>
      </c>
      <c r="AA7" s="571">
        <f>SUM(AA8:AA9)</f>
        <v>0</v>
      </c>
      <c r="AB7" s="571">
        <f>SUM(AB8:AB9)</f>
        <v>0</v>
      </c>
      <c r="AC7" s="571">
        <f>SUM(AC8:AC9)</f>
        <v>0</v>
      </c>
      <c r="AD7" s="734"/>
      <c r="AE7" s="571"/>
      <c r="AF7" s="1010">
        <f>Y7/$Y$2</f>
        <v>0.15767140298887619</v>
      </c>
      <c r="AG7" s="1011" t="e">
        <f>Z7/$Z$2</f>
        <v>#DIV/0!</v>
      </c>
      <c r="AH7" s="1012" t="e">
        <f>AA7/$AA$2</f>
        <v>#DIV/0!</v>
      </c>
      <c r="AI7" s="1012" t="e">
        <f>AB7/$AB$2</f>
        <v>#DIV/0!</v>
      </c>
      <c r="AJ7" s="1012" t="e">
        <f>AC7/$AC$2</f>
        <v>#DIV/0!</v>
      </c>
    </row>
    <row r="8" spans="2:36" ht="15.75">
      <c r="B8" s="572" t="s">
        <v>631</v>
      </c>
      <c r="C8" s="572" t="s">
        <v>1521</v>
      </c>
      <c r="D8" s="572"/>
      <c r="E8" s="572"/>
      <c r="F8" s="572" t="str">
        <f>VLOOKUP(B8,MasterSheet!$B$6:$N$187,5,)</f>
        <v>1.25kg</v>
      </c>
      <c r="G8" s="719" t="s">
        <v>1851</v>
      </c>
      <c r="H8" s="691">
        <f>VLOOKUP(B8,MasterSheet!$B$6:$N$187,7,)</f>
        <v>42892.78</v>
      </c>
      <c r="I8" s="694">
        <v>199</v>
      </c>
      <c r="J8" s="575">
        <v>330</v>
      </c>
      <c r="K8" s="575">
        <v>0</v>
      </c>
      <c r="L8" s="574">
        <v>222</v>
      </c>
      <c r="M8" s="574"/>
      <c r="N8" s="574"/>
      <c r="O8" s="574"/>
      <c r="P8" s="574"/>
      <c r="Q8" s="574"/>
      <c r="R8" s="574"/>
      <c r="S8" s="574"/>
      <c r="T8" s="574"/>
      <c r="U8" s="574"/>
      <c r="V8" s="574"/>
      <c r="W8" s="574"/>
      <c r="X8" s="574"/>
      <c r="Y8" s="574">
        <f>IFERROR(SUM(I8,K8,J8)-L8,"")*H8</f>
        <v>13168083.459999999</v>
      </c>
      <c r="Z8" s="574">
        <f>IFERROR(SUM(L8,N8,M8)-O8,"")*H8</f>
        <v>9522197.1600000001</v>
      </c>
      <c r="AA8" s="574">
        <f>IFERROR(SUM(O8,P8,Q8)-R8,"")*H8</f>
        <v>0</v>
      </c>
      <c r="AB8" s="830">
        <f>IFERROR(SUM(R8,S8,T8)-U8,"")*H8</f>
        <v>0</v>
      </c>
      <c r="AC8" s="574">
        <f>IFERROR(SUM(U8,V8,W8)-X8,"")*H8</f>
        <v>0</v>
      </c>
      <c r="AD8" s="735">
        <f>SUM(R8+S8)-U8</f>
        <v>0</v>
      </c>
      <c r="AE8" s="733">
        <f>(SUMIF(COSTING!$B$10:$B$826,B8,COSTING!$L$10:$L$826))/1250</f>
        <v>240.77777777777774</v>
      </c>
      <c r="AF8" s="1013"/>
      <c r="AG8" s="1014"/>
    </row>
    <row r="9" spans="2:36">
      <c r="B9" s="574"/>
      <c r="C9" s="572"/>
      <c r="D9" s="572"/>
      <c r="E9" s="572"/>
      <c r="F9" s="572"/>
      <c r="G9" s="720"/>
      <c r="H9" s="573"/>
      <c r="I9" s="575"/>
      <c r="J9" s="575"/>
      <c r="K9" s="575"/>
      <c r="L9" s="574"/>
      <c r="M9" s="574"/>
      <c r="N9" s="574"/>
      <c r="O9" s="574"/>
      <c r="P9" s="574"/>
      <c r="Q9" s="574"/>
      <c r="R9" s="574"/>
      <c r="S9" s="574"/>
      <c r="T9" s="574"/>
      <c r="U9" s="574"/>
      <c r="V9" s="574"/>
      <c r="W9" s="574"/>
      <c r="X9" s="576"/>
      <c r="Y9" s="576"/>
      <c r="Z9" s="576"/>
      <c r="AA9" s="576"/>
      <c r="AB9" s="574"/>
      <c r="AC9" s="574"/>
      <c r="AD9" s="735"/>
      <c r="AE9" s="574"/>
      <c r="AF9" s="1015"/>
    </row>
    <row r="10" spans="2:36">
      <c r="B10" s="856" t="s">
        <v>1522</v>
      </c>
      <c r="C10" s="857"/>
      <c r="D10" s="857"/>
      <c r="E10" s="857"/>
      <c r="F10" s="857"/>
      <c r="G10" s="857"/>
      <c r="H10" s="857"/>
      <c r="I10" s="857"/>
      <c r="J10" s="857"/>
      <c r="K10" s="857"/>
      <c r="L10" s="857"/>
      <c r="M10" s="857"/>
      <c r="N10" s="857"/>
      <c r="O10" s="857"/>
      <c r="P10" s="857"/>
      <c r="Q10" s="857"/>
      <c r="R10" s="857"/>
      <c r="S10" s="857"/>
      <c r="T10" s="857"/>
      <c r="U10" s="857"/>
      <c r="V10" s="857"/>
      <c r="W10" s="857"/>
      <c r="X10" s="858"/>
      <c r="Y10" s="577">
        <f>SUM(Y11:Y18)</f>
        <v>4758674.0389999999</v>
      </c>
      <c r="Z10" s="577">
        <f>SUM(Z11:Z18)</f>
        <v>10334371.236000001</v>
      </c>
      <c r="AA10" s="577">
        <f>SUM(AA11:AA18)</f>
        <v>0</v>
      </c>
      <c r="AB10" s="577">
        <f>SUM(AB11:AB18)</f>
        <v>0</v>
      </c>
      <c r="AC10" s="577">
        <f>SUM(AC11:AC18)</f>
        <v>0</v>
      </c>
      <c r="AD10" s="735">
        <f t="shared" ref="AD10:AD76" si="0">SUM(R10+S10)-U10</f>
        <v>0</v>
      </c>
      <c r="AE10" s="577"/>
      <c r="AF10" s="1010">
        <f>Y10/$Y$2</f>
        <v>5.6979196279780576E-2</v>
      </c>
      <c r="AG10" s="1011" t="e">
        <f>Z10/$Z$2</f>
        <v>#DIV/0!</v>
      </c>
      <c r="AH10" s="1012" t="e">
        <f>AA10/$AA$2</f>
        <v>#DIV/0!</v>
      </c>
      <c r="AI10" s="1012" t="e">
        <f>AB10/$AB$2</f>
        <v>#DIV/0!</v>
      </c>
      <c r="AJ10" s="1012" t="e">
        <f>AC10/$AC$2</f>
        <v>#DIV/0!</v>
      </c>
    </row>
    <row r="11" spans="2:36">
      <c r="B11" s="572" t="s">
        <v>4</v>
      </c>
      <c r="C11" s="572" t="s">
        <v>1523</v>
      </c>
      <c r="D11" s="578"/>
      <c r="E11" s="578"/>
      <c r="F11" s="572" t="str">
        <f>VLOOKUP(B11,MasterSheet!$B$6:$N$187,5,)</f>
        <v>5kg*4pack</v>
      </c>
      <c r="G11" s="720" t="s">
        <v>1852</v>
      </c>
      <c r="H11" s="573">
        <f>VLOOKUP(B11,MasterSheet!$B$6:$N$187,7,)</f>
        <v>1387500</v>
      </c>
      <c r="I11" s="694">
        <v>2.35</v>
      </c>
      <c r="J11" s="575">
        <v>0</v>
      </c>
      <c r="K11" s="575">
        <v>0</v>
      </c>
      <c r="L11" s="574">
        <v>1.32</v>
      </c>
      <c r="M11" s="575"/>
      <c r="N11" s="575"/>
      <c r="O11" s="575"/>
      <c r="P11" s="575"/>
      <c r="Q11" s="575"/>
      <c r="R11" s="575"/>
      <c r="S11" s="574"/>
      <c r="T11" s="574"/>
      <c r="U11" s="574"/>
      <c r="V11" s="574"/>
      <c r="W11" s="574"/>
      <c r="X11" s="574"/>
      <c r="Y11" s="574">
        <f>IFERROR(SUM(I11,K11,J11)-L11,"")*H11</f>
        <v>1429125</v>
      </c>
      <c r="Z11" s="574">
        <f>IFERROR(SUM(L11,N11,M11)-O11,"")*H11</f>
        <v>1831500</v>
      </c>
      <c r="AA11" s="830">
        <f>IFERROR(SUM(O11,P11,Q11)-R11,"")*H11</f>
        <v>0</v>
      </c>
      <c r="AB11" s="830">
        <f>IFERROR(SUM(R11,S11,T11)-U11,"")*H11</f>
        <v>0</v>
      </c>
      <c r="AC11" s="574">
        <f>IFERROR(SUM(U11,V11,W11)-X11,"")*H11</f>
        <v>0</v>
      </c>
      <c r="AD11" s="827">
        <f t="shared" si="0"/>
        <v>0</v>
      </c>
      <c r="AE11" s="724">
        <f>((SUMIF(COSTING!$B$10:$B$826,B11,COSTING!$L$10:$L$826))/20000)+((SUMIF(COSTING!$B$10:$B$826,B16,COSTING!$L$10:$L$826)*37%)/20000)</f>
        <v>1.0789999999999997</v>
      </c>
      <c r="AF11" s="1010"/>
    </row>
    <row r="12" spans="2:36">
      <c r="B12" s="572" t="s">
        <v>7</v>
      </c>
      <c r="C12" s="572" t="s">
        <v>1524</v>
      </c>
      <c r="D12" s="578"/>
      <c r="E12" s="578"/>
      <c r="F12" s="572" t="str">
        <f>VLOOKUP(B12,MasterSheet!$B$6:$N$187,5,)</f>
        <v>1kg*20pack</v>
      </c>
      <c r="G12" s="720" t="s">
        <v>1852</v>
      </c>
      <c r="H12" s="573">
        <f>VLOOKUP(B12,MasterSheet!$B$6:$N$187,7,)</f>
        <v>1443000</v>
      </c>
      <c r="I12" s="694">
        <v>2.35</v>
      </c>
      <c r="J12" s="575">
        <v>0</v>
      </c>
      <c r="K12" s="575">
        <v>0</v>
      </c>
      <c r="L12" s="574">
        <v>1.32</v>
      </c>
      <c r="M12" s="575"/>
      <c r="N12" s="575"/>
      <c r="O12" s="575"/>
      <c r="P12" s="575"/>
      <c r="Q12" s="575"/>
      <c r="R12" s="575"/>
      <c r="S12" s="574"/>
      <c r="T12" s="574"/>
      <c r="U12" s="574"/>
      <c r="V12" s="574"/>
      <c r="W12" s="574"/>
      <c r="X12" s="574"/>
      <c r="Y12" s="574">
        <f t="shared" ref="Y12:Y18" si="1">IFERROR(SUM(I12,K12,J12)-L12,"")*H12</f>
        <v>1486290</v>
      </c>
      <c r="Z12" s="574">
        <f t="shared" ref="Z12:Z80" si="2">IFERROR(SUM(L12,N12,M12)-O12,"")*H12</f>
        <v>1904760</v>
      </c>
      <c r="AA12" s="574">
        <f t="shared" ref="AA12:AA80" si="3">IFERROR(SUM(O12,P12,Q12)-R12,"")*H12</f>
        <v>0</v>
      </c>
      <c r="AB12" s="574">
        <f t="shared" ref="AB12:AB80" si="4">IFERROR(SUM(R12,S12,T12)-U12,"")*H12</f>
        <v>0</v>
      </c>
      <c r="AC12" s="574">
        <f t="shared" ref="AC12:AC17" si="5">IFERROR(SUM(U12,V12,W12)-X12,"")*H12</f>
        <v>0</v>
      </c>
      <c r="AD12" s="827">
        <f t="shared" si="0"/>
        <v>0</v>
      </c>
      <c r="AE12" s="724">
        <f>(SUMIF(COSTING!$B$10:$B$826,B17,COSTING!$L$10:$L$826)*47%)/20000</f>
        <v>1.0542034722222218</v>
      </c>
      <c r="AF12" s="1010"/>
    </row>
    <row r="13" spans="2:36">
      <c r="B13" s="572" t="s">
        <v>690</v>
      </c>
      <c r="C13" s="572" t="s">
        <v>1525</v>
      </c>
      <c r="D13" s="578"/>
      <c r="E13" s="578"/>
      <c r="F13" s="572" t="str">
        <f>VLOOKUP(B13,MasterSheet!$B$6:$N$187,5,)</f>
        <v>1kg*25pack</v>
      </c>
      <c r="G13" s="720" t="s">
        <v>1852</v>
      </c>
      <c r="H13" s="573">
        <f>VLOOKUP(B13,MasterSheet!$B$6:$N$187,7,)</f>
        <v>7215000</v>
      </c>
      <c r="I13" s="694">
        <v>1</v>
      </c>
      <c r="J13" s="575">
        <v>0</v>
      </c>
      <c r="K13" s="575">
        <v>0</v>
      </c>
      <c r="L13" s="574">
        <v>0.76</v>
      </c>
      <c r="M13" s="575"/>
      <c r="N13" s="575"/>
      <c r="O13" s="575"/>
      <c r="P13" s="575"/>
      <c r="Q13" s="575"/>
      <c r="R13" s="575"/>
      <c r="S13" s="574"/>
      <c r="T13" s="574"/>
      <c r="U13" s="574"/>
      <c r="V13" s="574"/>
      <c r="W13" s="574"/>
      <c r="X13" s="574"/>
      <c r="Y13" s="574">
        <f t="shared" si="1"/>
        <v>1731600</v>
      </c>
      <c r="Z13" s="574">
        <f t="shared" si="2"/>
        <v>5483400</v>
      </c>
      <c r="AA13" s="574">
        <f t="shared" si="3"/>
        <v>0</v>
      </c>
      <c r="AB13" s="574">
        <f t="shared" si="4"/>
        <v>0</v>
      </c>
      <c r="AC13" s="575">
        <f t="shared" si="5"/>
        <v>0</v>
      </c>
      <c r="AD13" s="827">
        <f t="shared" si="0"/>
        <v>0</v>
      </c>
      <c r="AE13" s="724">
        <f>(SUMIF(COSTING!$B$10:$B$826,B13,COSTING!$L$10:$L$826))/25000</f>
        <v>0.14866666666666667</v>
      </c>
      <c r="AF13" s="1010"/>
    </row>
    <row r="14" spans="2:36">
      <c r="B14" s="572" t="s">
        <v>757</v>
      </c>
      <c r="C14" s="572" t="s">
        <v>1526</v>
      </c>
      <c r="D14" s="578"/>
      <c r="E14" s="578"/>
      <c r="F14" s="572" t="str">
        <f>VLOOKUP(B14,MasterSheet!$B$6:$N$187,5,)</f>
        <v>1kg*20pack</v>
      </c>
      <c r="G14" s="720" t="s">
        <v>1852</v>
      </c>
      <c r="H14" s="573">
        <f>VLOOKUP(B14,MasterSheet!$B$6:$N$187,7,)</f>
        <v>2303250</v>
      </c>
      <c r="I14" s="694">
        <v>0.52</v>
      </c>
      <c r="J14" s="575">
        <v>0</v>
      </c>
      <c r="K14" s="575">
        <v>0</v>
      </c>
      <c r="L14" s="574">
        <v>0.47</v>
      </c>
      <c r="M14" s="575"/>
      <c r="N14" s="575"/>
      <c r="O14" s="575"/>
      <c r="P14" s="575"/>
      <c r="Q14" s="575"/>
      <c r="R14" s="575"/>
      <c r="S14" s="574"/>
      <c r="T14" s="574"/>
      <c r="U14" s="574"/>
      <c r="V14" s="574"/>
      <c r="W14" s="574"/>
      <c r="X14" s="574"/>
      <c r="Y14" s="574">
        <f t="shared" si="1"/>
        <v>115162.5000000001</v>
      </c>
      <c r="Z14" s="574">
        <f t="shared" si="2"/>
        <v>1082527.5</v>
      </c>
      <c r="AA14" s="574">
        <f t="shared" si="3"/>
        <v>0</v>
      </c>
      <c r="AB14" s="575">
        <f t="shared" si="4"/>
        <v>0</v>
      </c>
      <c r="AC14" s="574">
        <f t="shared" si="5"/>
        <v>0</v>
      </c>
      <c r="AD14" s="827">
        <f t="shared" si="0"/>
        <v>0</v>
      </c>
      <c r="AE14" s="724">
        <f>(SUMIF(COSTING!$B$10:$B$826,B14,COSTING!$L$10:$L$826))/20000</f>
        <v>5.1999999999999998E-2</v>
      </c>
      <c r="AF14" s="1010"/>
    </row>
    <row r="15" spans="2:36">
      <c r="B15" s="572" t="s">
        <v>1665</v>
      </c>
      <c r="C15" s="572" t="s">
        <v>1527</v>
      </c>
      <c r="D15" s="578"/>
      <c r="E15" s="578"/>
      <c r="F15" s="572" t="str">
        <f>VLOOKUP(B15,MasterSheet!$B$6:$N$187,5,)</f>
        <v>5kg*4pack</v>
      </c>
      <c r="G15" s="720" t="s">
        <v>1852</v>
      </c>
      <c r="H15" s="573">
        <f>VLOOKUP(B15,MasterSheet!$B$6:$N$187,7,)</f>
        <v>1259850</v>
      </c>
      <c r="I15" s="694">
        <v>0</v>
      </c>
      <c r="J15" s="575">
        <v>0</v>
      </c>
      <c r="K15" s="575">
        <v>0</v>
      </c>
      <c r="L15" s="574">
        <v>0</v>
      </c>
      <c r="M15" s="575"/>
      <c r="N15" s="575"/>
      <c r="O15" s="575"/>
      <c r="P15" s="575"/>
      <c r="Q15" s="575"/>
      <c r="R15" s="575"/>
      <c r="S15" s="574"/>
      <c r="T15" s="574"/>
      <c r="U15" s="574"/>
      <c r="V15" s="574"/>
      <c r="W15" s="574"/>
      <c r="X15" s="574"/>
      <c r="Y15" s="574">
        <f t="shared" si="1"/>
        <v>0</v>
      </c>
      <c r="Z15" s="574">
        <f t="shared" si="2"/>
        <v>0</v>
      </c>
      <c r="AA15" s="574">
        <f t="shared" si="3"/>
        <v>0</v>
      </c>
      <c r="AB15" s="574">
        <f t="shared" si="4"/>
        <v>0</v>
      </c>
      <c r="AC15" s="574">
        <f t="shared" si="5"/>
        <v>0</v>
      </c>
      <c r="AD15" s="827">
        <f t="shared" si="0"/>
        <v>0</v>
      </c>
      <c r="AE15" s="724"/>
      <c r="AF15" s="1010"/>
    </row>
    <row r="16" spans="2:36">
      <c r="B16" s="572" t="s">
        <v>567</v>
      </c>
      <c r="C16" s="572" t="s">
        <v>1528</v>
      </c>
      <c r="D16" s="578"/>
      <c r="E16" s="578"/>
      <c r="F16" s="572" t="s">
        <v>1529</v>
      </c>
      <c r="G16" s="720" t="s">
        <v>1853</v>
      </c>
      <c r="H16" s="573">
        <v>28.2286</v>
      </c>
      <c r="I16" s="694">
        <v>600</v>
      </c>
      <c r="J16" s="575">
        <v>0</v>
      </c>
      <c r="K16" s="575">
        <v>0</v>
      </c>
      <c r="L16" s="574">
        <v>560</v>
      </c>
      <c r="M16" s="574"/>
      <c r="N16" s="574"/>
      <c r="O16" s="574"/>
      <c r="P16" s="574"/>
      <c r="Q16" s="574"/>
      <c r="R16" s="574"/>
      <c r="S16" s="574"/>
      <c r="T16" s="574"/>
      <c r="U16" s="574"/>
      <c r="V16" s="574"/>
      <c r="W16" s="574"/>
      <c r="X16" s="574"/>
      <c r="Y16" s="574">
        <f t="shared" si="1"/>
        <v>1129.144</v>
      </c>
      <c r="Z16" s="574">
        <f t="shared" si="2"/>
        <v>15808.016</v>
      </c>
      <c r="AA16" s="574">
        <f t="shared" si="3"/>
        <v>0</v>
      </c>
      <c r="AB16" s="575">
        <f t="shared" si="4"/>
        <v>0</v>
      </c>
      <c r="AC16" s="574">
        <f t="shared" si="5"/>
        <v>0</v>
      </c>
      <c r="AD16" s="735">
        <f t="shared" si="0"/>
        <v>0</v>
      </c>
      <c r="AE16" s="574">
        <f>(SUMIF(COSTING!$B$10:$B$826,B16,COSTING!$L$10:$L$826))/1000</f>
        <v>17.333333333333332</v>
      </c>
      <c r="AF16" s="1010"/>
    </row>
    <row r="17" spans="2:36">
      <c r="B17" s="572" t="s">
        <v>568</v>
      </c>
      <c r="C17" s="572" t="s">
        <v>1530</v>
      </c>
      <c r="D17" s="578"/>
      <c r="E17" s="578"/>
      <c r="F17" s="572" t="s">
        <v>1529</v>
      </c>
      <c r="G17" s="720" t="s">
        <v>1853</v>
      </c>
      <c r="H17" s="573">
        <v>21.547000000000001</v>
      </c>
      <c r="I17" s="694">
        <v>545</v>
      </c>
      <c r="J17" s="575">
        <v>0</v>
      </c>
      <c r="K17" s="575">
        <v>0</v>
      </c>
      <c r="L17" s="574">
        <v>760</v>
      </c>
      <c r="M17" s="574"/>
      <c r="N17" s="574"/>
      <c r="O17" s="574"/>
      <c r="P17" s="574"/>
      <c r="Q17" s="574"/>
      <c r="R17" s="574"/>
      <c r="S17" s="574"/>
      <c r="T17" s="574"/>
      <c r="U17" s="574"/>
      <c r="V17" s="574"/>
      <c r="W17" s="574"/>
      <c r="X17" s="574"/>
      <c r="Y17" s="574">
        <f t="shared" si="1"/>
        <v>-4632.6050000000005</v>
      </c>
      <c r="Z17" s="574">
        <f t="shared" si="2"/>
        <v>16375.720000000001</v>
      </c>
      <c r="AA17" s="574">
        <f t="shared" si="3"/>
        <v>0</v>
      </c>
      <c r="AB17" s="575">
        <f t="shared" si="4"/>
        <v>0</v>
      </c>
      <c r="AC17" s="574">
        <f t="shared" si="5"/>
        <v>0</v>
      </c>
      <c r="AD17" s="735">
        <f t="shared" si="0"/>
        <v>0</v>
      </c>
      <c r="AE17" s="574">
        <f>(SUMIF(COSTING!$B$10:$B$826,B17,COSTING!$L$10:$L$826))/1000</f>
        <v>44.859722222222203</v>
      </c>
      <c r="AF17" s="1010"/>
    </row>
    <row r="18" spans="2:36">
      <c r="B18" s="574"/>
      <c r="C18" s="572"/>
      <c r="D18" s="578"/>
      <c r="E18" s="578"/>
      <c r="F18" s="572"/>
      <c r="G18" s="720"/>
      <c r="H18" s="573"/>
      <c r="I18" s="575"/>
      <c r="J18" s="575"/>
      <c r="K18" s="575"/>
      <c r="L18" s="574"/>
      <c r="M18" s="574"/>
      <c r="N18" s="574"/>
      <c r="O18" s="574"/>
      <c r="P18" s="574"/>
      <c r="Q18" s="574"/>
      <c r="R18" s="574"/>
      <c r="S18" s="574"/>
      <c r="T18" s="574"/>
      <c r="U18" s="574"/>
      <c r="V18" s="574"/>
      <c r="W18" s="574"/>
      <c r="X18" s="574"/>
      <c r="Y18" s="574">
        <f t="shared" si="1"/>
        <v>0</v>
      </c>
      <c r="Z18" s="574">
        <f t="shared" si="2"/>
        <v>0</v>
      </c>
      <c r="AA18" s="574"/>
      <c r="AB18" s="574">
        <f t="shared" si="4"/>
        <v>0</v>
      </c>
      <c r="AC18" s="574"/>
      <c r="AD18" s="735">
        <f t="shared" si="0"/>
        <v>0</v>
      </c>
      <c r="AE18" s="574"/>
      <c r="AF18" s="1015"/>
    </row>
    <row r="19" spans="2:36">
      <c r="B19" s="876" t="s">
        <v>1531</v>
      </c>
      <c r="C19" s="877"/>
      <c r="D19" s="877"/>
      <c r="E19" s="877"/>
      <c r="F19" s="877"/>
      <c r="G19" s="877"/>
      <c r="H19" s="877"/>
      <c r="I19" s="877"/>
      <c r="J19" s="877"/>
      <c r="K19" s="877"/>
      <c r="L19" s="877"/>
      <c r="M19" s="877"/>
      <c r="N19" s="877"/>
      <c r="O19" s="877"/>
      <c r="P19" s="877"/>
      <c r="Q19" s="877"/>
      <c r="R19" s="877"/>
      <c r="S19" s="877"/>
      <c r="T19" s="877"/>
      <c r="U19" s="877"/>
      <c r="V19" s="877"/>
      <c r="W19" s="877"/>
      <c r="X19" s="878"/>
      <c r="Y19" s="579">
        <f>SUM(Y20:Y32)</f>
        <v>2179172.6363999993</v>
      </c>
      <c r="Z19" s="579">
        <f>SUM(Z20:Z32)</f>
        <v>12826903.437800001</v>
      </c>
      <c r="AA19" s="579">
        <f>SUM(AA20:AA32)</f>
        <v>0</v>
      </c>
      <c r="AB19" s="579">
        <f>SUM(AB20:AB32)</f>
        <v>0</v>
      </c>
      <c r="AC19" s="579">
        <f>SUM(AC20:AC32)</f>
        <v>0</v>
      </c>
      <c r="AD19" s="735">
        <f t="shared" si="0"/>
        <v>0</v>
      </c>
      <c r="AE19" s="579"/>
      <c r="AF19" s="1010">
        <f>Y19/$Y$2</f>
        <v>2.6092878890073199E-2</v>
      </c>
      <c r="AG19" s="1011" t="e">
        <f>Z19/$Z$2</f>
        <v>#DIV/0!</v>
      </c>
      <c r="AH19" s="1012" t="e">
        <f>AA19/$AA$2</f>
        <v>#DIV/0!</v>
      </c>
      <c r="AI19" s="1012" t="e">
        <f>AB19/$AB$2</f>
        <v>#DIV/0!</v>
      </c>
      <c r="AJ19" s="1012" t="e">
        <f>AC19/$AC$2</f>
        <v>#DIV/0!</v>
      </c>
    </row>
    <row r="20" spans="2:36">
      <c r="B20" s="572" t="s">
        <v>742</v>
      </c>
      <c r="C20" s="692" t="s">
        <v>1532</v>
      </c>
      <c r="D20" s="578"/>
      <c r="E20" s="578"/>
      <c r="F20" s="572" t="str">
        <f>VLOOKUP(B20,MasterSheet!$B$6:$N$187,5,)</f>
        <v>1kg*10pack</v>
      </c>
      <c r="G20" s="720" t="s">
        <v>1852</v>
      </c>
      <c r="H20" s="573">
        <f>VLOOKUP(B20,MasterSheet!$B$6:$N$187,7,)</f>
        <v>1082250</v>
      </c>
      <c r="I20" s="694">
        <v>3.04</v>
      </c>
      <c r="J20" s="575">
        <v>0</v>
      </c>
      <c r="K20" s="575">
        <v>0</v>
      </c>
      <c r="L20" s="574">
        <v>2.4300000000000002</v>
      </c>
      <c r="M20" s="574"/>
      <c r="N20" s="574"/>
      <c r="O20" s="574"/>
      <c r="P20" s="574"/>
      <c r="Q20" s="574"/>
      <c r="R20" s="574"/>
      <c r="S20" s="574"/>
      <c r="T20" s="574"/>
      <c r="U20" s="574"/>
      <c r="V20" s="574"/>
      <c r="W20" s="574"/>
      <c r="X20" s="574"/>
      <c r="Y20" s="574">
        <f>IFERROR(SUM(I20,K20,J20)-L20,"")*H20</f>
        <v>660172.49999999988</v>
      </c>
      <c r="Z20" s="574">
        <f t="shared" si="2"/>
        <v>2629867.5</v>
      </c>
      <c r="AA20" s="574">
        <f t="shared" si="3"/>
        <v>0</v>
      </c>
      <c r="AB20" s="575">
        <f t="shared" si="4"/>
        <v>0</v>
      </c>
      <c r="AC20" s="830">
        <f>IFERROR(SUM(U20,V20,W20)-X20,"")*H20</f>
        <v>0</v>
      </c>
      <c r="AD20" s="735">
        <f t="shared" si="0"/>
        <v>0</v>
      </c>
      <c r="AE20" s="574">
        <f>(SUMIF(COSTING!$B$10:$B$826,B20,COSTING!$L$10:$L$826))/10000</f>
        <v>0.97313888888888866</v>
      </c>
      <c r="AF20" s="1015"/>
    </row>
    <row r="21" spans="2:36">
      <c r="B21" s="572" t="s">
        <v>758</v>
      </c>
      <c r="C21" s="692" t="s">
        <v>1533</v>
      </c>
      <c r="D21" s="578"/>
      <c r="E21" s="578"/>
      <c r="F21" s="572" t="str">
        <f>VLOOKUP(B21,MasterSheet!$B$6:$N$187,5,)</f>
        <v>2kg*6pack</v>
      </c>
      <c r="G21" s="720" t="s">
        <v>1852</v>
      </c>
      <c r="H21" s="573">
        <f>VLOOKUP(B21,MasterSheet!$B$6:$N$187,7,)</f>
        <v>1370850</v>
      </c>
      <c r="I21" s="694">
        <v>0</v>
      </c>
      <c r="J21" s="575">
        <v>0</v>
      </c>
      <c r="K21" s="575">
        <v>0</v>
      </c>
      <c r="L21" s="574">
        <v>0</v>
      </c>
      <c r="M21" s="575"/>
      <c r="N21" s="575"/>
      <c r="O21" s="575"/>
      <c r="P21" s="575"/>
      <c r="Q21" s="575"/>
      <c r="R21" s="575"/>
      <c r="S21" s="574"/>
      <c r="T21" s="574"/>
      <c r="U21" s="574"/>
      <c r="V21" s="574"/>
      <c r="W21" s="574"/>
      <c r="X21" s="574"/>
      <c r="Y21" s="574">
        <f t="shared" ref="Y21:Y88" si="6">IFERROR(SUM(I21,K21,J21)-L21,"")*H21</f>
        <v>0</v>
      </c>
      <c r="Z21" s="574">
        <f t="shared" si="2"/>
        <v>0</v>
      </c>
      <c r="AA21" s="574">
        <f t="shared" si="3"/>
        <v>0</v>
      </c>
      <c r="AB21" s="575">
        <f t="shared" si="4"/>
        <v>0</v>
      </c>
      <c r="AC21" s="830">
        <f t="shared" ref="AC21:AC37" si="7">IFERROR(SUM(U21,V21,W21)-X21,"")*H21</f>
        <v>0</v>
      </c>
      <c r="AD21" s="735">
        <f t="shared" si="0"/>
        <v>0</v>
      </c>
      <c r="AE21" s="574">
        <f>(SUMIF(COSTING!$B$10:$B$826,B21,COSTING!$L$10:$L$826))/12000</f>
        <v>3.5648148148148144E-2</v>
      </c>
      <c r="AF21" s="1015"/>
    </row>
    <row r="22" spans="2:36">
      <c r="B22" s="692" t="s">
        <v>733</v>
      </c>
      <c r="C22" s="692" t="s">
        <v>1534</v>
      </c>
      <c r="D22" s="692"/>
      <c r="E22" s="692"/>
      <c r="F22" s="692" t="str">
        <f>VLOOKUP(B22,MasterSheet!$B$6:$N$187,5,)</f>
        <v>2.8kg</v>
      </c>
      <c r="G22" s="721" t="s">
        <v>1854</v>
      </c>
      <c r="H22" s="693">
        <f>VLOOKUP(B22,MasterSheet!$B$6:$N$187,7,)</f>
        <v>71793.960000000006</v>
      </c>
      <c r="I22" s="694">
        <v>6.07</v>
      </c>
      <c r="J22" s="575">
        <v>0</v>
      </c>
      <c r="K22" s="575">
        <v>0</v>
      </c>
      <c r="L22" s="575">
        <v>5.23</v>
      </c>
      <c r="M22" s="575"/>
      <c r="N22" s="575"/>
      <c r="O22" s="575"/>
      <c r="P22" s="575"/>
      <c r="Q22" s="575"/>
      <c r="R22" s="575"/>
      <c r="S22" s="575"/>
      <c r="T22" s="575"/>
      <c r="U22" s="575"/>
      <c r="V22" s="575"/>
      <c r="W22" s="575"/>
      <c r="X22" s="575"/>
      <c r="Y22" s="574">
        <f t="shared" si="6"/>
        <v>60306.926399999997</v>
      </c>
      <c r="Z22" s="574">
        <f t="shared" si="2"/>
        <v>375482.41080000007</v>
      </c>
      <c r="AA22" s="574">
        <f t="shared" si="3"/>
        <v>0</v>
      </c>
      <c r="AB22" s="830">
        <f t="shared" si="4"/>
        <v>0</v>
      </c>
      <c r="AC22" s="830">
        <f t="shared" si="7"/>
        <v>0</v>
      </c>
      <c r="AD22" s="735">
        <f t="shared" si="0"/>
        <v>0</v>
      </c>
      <c r="AE22" s="575"/>
      <c r="AF22" s="1015"/>
    </row>
    <row r="23" spans="2:36">
      <c r="B23" s="692" t="s">
        <v>725</v>
      </c>
      <c r="C23" s="692" t="s">
        <v>1535</v>
      </c>
      <c r="D23" s="692"/>
      <c r="E23" s="692"/>
      <c r="F23" s="692" t="str">
        <f>VLOOKUP(B23,MasterSheet!$B$6:$N$187,5,)</f>
        <v>1kg*10pack</v>
      </c>
      <c r="G23" s="721" t="s">
        <v>1852</v>
      </c>
      <c r="H23" s="693">
        <f>VLOOKUP(B23,MasterSheet!$B$6:$N$187,7,)</f>
        <v>1304250</v>
      </c>
      <c r="I23" s="694">
        <v>0</v>
      </c>
      <c r="J23" s="575">
        <v>0</v>
      </c>
      <c r="K23" s="575">
        <v>0</v>
      </c>
      <c r="L23" s="575">
        <v>0</v>
      </c>
      <c r="M23" s="575"/>
      <c r="N23" s="575"/>
      <c r="O23" s="575"/>
      <c r="P23" s="575"/>
      <c r="Q23" s="575"/>
      <c r="R23" s="575"/>
      <c r="S23" s="575"/>
      <c r="T23" s="575"/>
      <c r="U23" s="575"/>
      <c r="V23" s="575"/>
      <c r="W23" s="575"/>
      <c r="X23" s="575"/>
      <c r="Y23" s="574">
        <f t="shared" si="6"/>
        <v>0</v>
      </c>
      <c r="Z23" s="574">
        <f t="shared" si="2"/>
        <v>0</v>
      </c>
      <c r="AA23" s="574">
        <f t="shared" si="3"/>
        <v>0</v>
      </c>
      <c r="AB23" s="830">
        <f t="shared" si="4"/>
        <v>0</v>
      </c>
      <c r="AC23" s="830">
        <f t="shared" si="7"/>
        <v>0</v>
      </c>
      <c r="AD23" s="735">
        <f t="shared" si="0"/>
        <v>0</v>
      </c>
      <c r="AE23" s="575">
        <f>(SUMIF(COSTING!$B$10:$B$826,B23,COSTING!$L$10:$L$826))/10000</f>
        <v>0</v>
      </c>
      <c r="AF23" s="1015"/>
      <c r="AG23" s="1016"/>
    </row>
    <row r="24" spans="2:36">
      <c r="B24" s="692" t="s">
        <v>664</v>
      </c>
      <c r="C24" s="692" t="s">
        <v>1536</v>
      </c>
      <c r="D24" s="692"/>
      <c r="E24" s="692"/>
      <c r="F24" s="692" t="str">
        <f>VLOOKUP(B24,MasterSheet!$B$6:$N$187,5,)</f>
        <v>2kg*6pack</v>
      </c>
      <c r="G24" s="721" t="s">
        <v>1852</v>
      </c>
      <c r="H24" s="693">
        <f>VLOOKUP(B24,MasterSheet!$B$6:$N$187,7,)</f>
        <v>1443000</v>
      </c>
      <c r="I24" s="694">
        <v>4.0999999999999996</v>
      </c>
      <c r="J24" s="575">
        <v>0</v>
      </c>
      <c r="K24" s="575">
        <v>0</v>
      </c>
      <c r="L24" s="575">
        <v>3.73</v>
      </c>
      <c r="M24" s="575"/>
      <c r="N24" s="575"/>
      <c r="O24" s="575"/>
      <c r="P24" s="575"/>
      <c r="Q24" s="575"/>
      <c r="R24" s="575"/>
      <c r="S24" s="575"/>
      <c r="T24" s="575"/>
      <c r="U24" s="575"/>
      <c r="V24" s="575"/>
      <c r="W24" s="575"/>
      <c r="X24" s="575"/>
      <c r="Y24" s="574">
        <f t="shared" si="6"/>
        <v>533909.99999999953</v>
      </c>
      <c r="Z24" s="574">
        <f t="shared" si="2"/>
        <v>5382390</v>
      </c>
      <c r="AA24" s="574">
        <f t="shared" si="3"/>
        <v>0</v>
      </c>
      <c r="AB24" s="830">
        <f t="shared" si="4"/>
        <v>0</v>
      </c>
      <c r="AC24" s="830">
        <f t="shared" si="7"/>
        <v>0</v>
      </c>
      <c r="AD24" s="735">
        <f t="shared" si="0"/>
        <v>0</v>
      </c>
      <c r="AE24" s="575">
        <f>(SUMIF(COSTING!$B$10:$B$826,B24,COSTING!$L$10:$L$826))/12000</f>
        <v>0.29388888888888881</v>
      </c>
      <c r="AF24" s="1015"/>
      <c r="AG24" s="1016"/>
    </row>
    <row r="25" spans="2:36">
      <c r="B25" s="692" t="s">
        <v>2095</v>
      </c>
      <c r="C25" s="692" t="s">
        <v>2096</v>
      </c>
      <c r="D25" s="692"/>
      <c r="E25" s="692"/>
      <c r="F25" s="692" t="str">
        <f>VLOOKUP(B25,MasterSheet!$B$6:$N$187,5,)</f>
        <v>25pcs</v>
      </c>
      <c r="G25" s="721" t="s">
        <v>1851</v>
      </c>
      <c r="H25" s="693">
        <f>VLOOKUP(B25,MasterSheet!$B$6:$N$187,7,)</f>
        <v>5167.5</v>
      </c>
      <c r="I25" s="694">
        <v>126.72</v>
      </c>
      <c r="J25" s="575">
        <v>0</v>
      </c>
      <c r="K25" s="575">
        <v>0</v>
      </c>
      <c r="L25" s="575">
        <v>125</v>
      </c>
      <c r="M25" s="575"/>
      <c r="N25" s="575"/>
      <c r="O25" s="575"/>
      <c r="P25" s="575"/>
      <c r="Q25" s="575"/>
      <c r="R25" s="575"/>
      <c r="S25" s="575"/>
      <c r="T25" s="575"/>
      <c r="U25" s="575"/>
      <c r="V25" s="575"/>
      <c r="W25" s="575"/>
      <c r="X25" s="575"/>
      <c r="Y25" s="574">
        <f t="shared" si="6"/>
        <v>8888.0999999999949</v>
      </c>
      <c r="Z25" s="574">
        <f t="shared" si="2"/>
        <v>645937.5</v>
      </c>
      <c r="AA25" s="574">
        <f t="shared" si="3"/>
        <v>0</v>
      </c>
      <c r="AB25" s="830">
        <f t="shared" si="4"/>
        <v>0</v>
      </c>
      <c r="AC25" s="830">
        <f t="shared" si="7"/>
        <v>0</v>
      </c>
      <c r="AD25" s="735">
        <f t="shared" si="0"/>
        <v>0</v>
      </c>
      <c r="AE25" s="575"/>
      <c r="AF25" s="1015"/>
    </row>
    <row r="26" spans="2:36">
      <c r="B26" s="572" t="s">
        <v>1691</v>
      </c>
      <c r="C26" s="692" t="s">
        <v>1537</v>
      </c>
      <c r="D26" s="578"/>
      <c r="E26" s="578"/>
      <c r="F26" s="572" t="str">
        <f>VLOOKUP(B26,MasterSheet!$B$6:$N$187,5,)</f>
        <v>22pcs</v>
      </c>
      <c r="G26" s="720" t="s">
        <v>1851</v>
      </c>
      <c r="H26" s="573">
        <f>VLOOKUP(B26,MasterSheet!$B$6:$N$187,7,)</f>
        <v>5200</v>
      </c>
      <c r="I26" s="694">
        <v>0</v>
      </c>
      <c r="J26" s="575">
        <v>0</v>
      </c>
      <c r="K26" s="575">
        <v>0</v>
      </c>
      <c r="L26" s="574">
        <v>0</v>
      </c>
      <c r="M26" s="574"/>
      <c r="N26" s="574"/>
      <c r="O26" s="574"/>
      <c r="P26" s="574"/>
      <c r="Q26" s="574"/>
      <c r="R26" s="574"/>
      <c r="S26" s="574"/>
      <c r="T26" s="574"/>
      <c r="U26" s="574"/>
      <c r="V26" s="574"/>
      <c r="W26" s="574"/>
      <c r="X26" s="574"/>
      <c r="Y26" s="574">
        <f t="shared" si="6"/>
        <v>0</v>
      </c>
      <c r="Z26" s="574">
        <f t="shared" si="2"/>
        <v>0</v>
      </c>
      <c r="AA26" s="574">
        <f t="shared" si="3"/>
        <v>0</v>
      </c>
      <c r="AB26" s="830">
        <f t="shared" si="4"/>
        <v>0</v>
      </c>
      <c r="AC26" s="830">
        <f t="shared" si="7"/>
        <v>0</v>
      </c>
      <c r="AD26" s="735">
        <f t="shared" si="0"/>
        <v>0</v>
      </c>
      <c r="AE26" s="574">
        <f>(SUMIF(COSTING!$B$10:$B$826,B26,COSTING!$L$10:$L$826))</f>
        <v>0</v>
      </c>
      <c r="AF26" s="1015"/>
    </row>
    <row r="27" spans="2:36">
      <c r="B27" s="572" t="s">
        <v>1693</v>
      </c>
      <c r="C27" s="692" t="s">
        <v>1538</v>
      </c>
      <c r="D27" s="578"/>
      <c r="E27" s="578"/>
      <c r="F27" s="572" t="str">
        <f>VLOOKUP(B27,MasterSheet!$B$6:$N$187,5,)</f>
        <v>22pcs</v>
      </c>
      <c r="G27" s="720" t="s">
        <v>1851</v>
      </c>
      <c r="H27" s="573">
        <f>VLOOKUP(B27,MasterSheet!$B$6:$N$187,7,)</f>
        <v>4712</v>
      </c>
      <c r="I27" s="694">
        <v>34</v>
      </c>
      <c r="J27" s="575">
        <v>0</v>
      </c>
      <c r="K27" s="575">
        <v>0</v>
      </c>
      <c r="L27" s="574">
        <v>28</v>
      </c>
      <c r="M27" s="574"/>
      <c r="N27" s="574"/>
      <c r="O27" s="574"/>
      <c r="P27" s="574"/>
      <c r="Q27" s="574"/>
      <c r="R27" s="574"/>
      <c r="S27" s="574"/>
      <c r="T27" s="574"/>
      <c r="U27" s="574"/>
      <c r="V27" s="574"/>
      <c r="W27" s="574"/>
      <c r="X27" s="574"/>
      <c r="Y27" s="574">
        <f t="shared" si="6"/>
        <v>28272</v>
      </c>
      <c r="Z27" s="574">
        <f t="shared" si="2"/>
        <v>131936</v>
      </c>
      <c r="AA27" s="574">
        <f t="shared" si="3"/>
        <v>0</v>
      </c>
      <c r="AB27" s="830">
        <f t="shared" si="4"/>
        <v>0</v>
      </c>
      <c r="AC27" s="830">
        <f t="shared" si="7"/>
        <v>0</v>
      </c>
      <c r="AD27" s="735">
        <f t="shared" si="0"/>
        <v>0</v>
      </c>
      <c r="AE27" s="574">
        <f>(SUMIF(COSTING!$B$10:$B$826,B27,COSTING!$L$10:$L$826))</f>
        <v>0</v>
      </c>
      <c r="AF27" s="1015"/>
    </row>
    <row r="28" spans="2:36">
      <c r="B28" s="572" t="s">
        <v>1767</v>
      </c>
      <c r="C28" s="692" t="s">
        <v>1539</v>
      </c>
      <c r="D28" s="578"/>
      <c r="E28" s="578"/>
      <c r="F28" s="572" t="str">
        <f>VLOOKUP(B28,MasterSheet!$B$6:$N$187,5,)</f>
        <v>500g</v>
      </c>
      <c r="G28" s="720" t="s">
        <v>1855</v>
      </c>
      <c r="H28" s="573">
        <f>VLOOKUP(B28,MasterSheet!$B$6:$N$187,7,)</f>
        <v>36741</v>
      </c>
      <c r="I28" s="694">
        <v>9.16</v>
      </c>
      <c r="J28" s="575">
        <v>0</v>
      </c>
      <c r="K28" s="575">
        <v>0</v>
      </c>
      <c r="L28" s="575">
        <v>8.8000000000000007</v>
      </c>
      <c r="M28" s="574"/>
      <c r="N28" s="574"/>
      <c r="O28" s="574"/>
      <c r="P28" s="574"/>
      <c r="Q28" s="574"/>
      <c r="R28" s="574"/>
      <c r="S28" s="574"/>
      <c r="T28" s="574"/>
      <c r="U28" s="574"/>
      <c r="V28" s="574"/>
      <c r="W28" s="574"/>
      <c r="X28" s="574"/>
      <c r="Y28" s="575">
        <f>IFERROR(SUM(I28,K28,J28)-L28,"")*H28</f>
        <v>13226.759999999978</v>
      </c>
      <c r="Z28" s="574">
        <f t="shared" si="2"/>
        <v>323320.80000000005</v>
      </c>
      <c r="AA28" s="574">
        <f t="shared" si="3"/>
        <v>0</v>
      </c>
      <c r="AB28" s="830">
        <f t="shared" si="4"/>
        <v>0</v>
      </c>
      <c r="AC28" s="830">
        <f t="shared" si="7"/>
        <v>0</v>
      </c>
      <c r="AD28" s="735">
        <f t="shared" si="0"/>
        <v>0</v>
      </c>
      <c r="AE28" s="574">
        <f>(SUMIF(COSTING!$B$10:$B$826,B28,COSTING!$L$10:$L$826))</f>
        <v>0</v>
      </c>
      <c r="AF28" s="1015"/>
    </row>
    <row r="29" spans="2:36">
      <c r="B29" s="572" t="s">
        <v>977</v>
      </c>
      <c r="C29" s="692" t="s">
        <v>1540</v>
      </c>
      <c r="D29" s="578"/>
      <c r="E29" s="578"/>
      <c r="F29" s="572" t="str">
        <f>VLOOKUP(B29,MasterSheet!$B$6:$N$187,5,)</f>
        <v>3kg</v>
      </c>
      <c r="G29" s="720" t="s">
        <v>1854</v>
      </c>
      <c r="H29" s="573">
        <f>VLOOKUP(B29,MasterSheet!$B$6:$N$187,7,)</f>
        <v>144999.9</v>
      </c>
      <c r="I29" s="694">
        <v>5.53</v>
      </c>
      <c r="J29" s="575">
        <v>0</v>
      </c>
      <c r="K29" s="575">
        <v>0</v>
      </c>
      <c r="L29" s="574">
        <v>4.7300000000000004</v>
      </c>
      <c r="M29" s="574"/>
      <c r="N29" s="574"/>
      <c r="O29" s="574"/>
      <c r="P29" s="574"/>
      <c r="Q29" s="574"/>
      <c r="R29" s="574"/>
      <c r="S29" s="574"/>
      <c r="T29" s="574"/>
      <c r="U29" s="574"/>
      <c r="V29" s="574"/>
      <c r="W29" s="574"/>
      <c r="X29" s="574"/>
      <c r="Y29" s="574">
        <f t="shared" si="6"/>
        <v>115999.91999999997</v>
      </c>
      <c r="Z29" s="574">
        <f t="shared" si="2"/>
        <v>685849.527</v>
      </c>
      <c r="AA29" s="574">
        <f t="shared" si="3"/>
        <v>0</v>
      </c>
      <c r="AB29" s="830">
        <f t="shared" si="4"/>
        <v>0</v>
      </c>
      <c r="AC29" s="830">
        <f t="shared" si="7"/>
        <v>0</v>
      </c>
      <c r="AD29" s="735">
        <f t="shared" si="0"/>
        <v>0</v>
      </c>
      <c r="AE29" s="574">
        <f>(SUMIF(COSTING!$B$10:$B$826,B29,COSTING!$L$10:$L$826))</f>
        <v>40</v>
      </c>
      <c r="AF29" s="1015"/>
    </row>
    <row r="30" spans="2:36">
      <c r="B30" s="572" t="s">
        <v>950</v>
      </c>
      <c r="C30" s="692" t="s">
        <v>1541</v>
      </c>
      <c r="D30" s="578"/>
      <c r="E30" s="578"/>
      <c r="F30" s="572" t="str">
        <f>VLOOKUP(B30,MasterSheet!$B$6:$N$187,5,)</f>
        <v>770g</v>
      </c>
      <c r="G30" s="720" t="s">
        <v>1855</v>
      </c>
      <c r="H30" s="573">
        <f>VLOOKUP(B30,MasterSheet!$B$6:$N$187,7,)</f>
        <v>54501</v>
      </c>
      <c r="I30" s="694">
        <v>8.77</v>
      </c>
      <c r="J30" s="575">
        <v>0</v>
      </c>
      <c r="K30" s="575">
        <v>0</v>
      </c>
      <c r="L30" s="574">
        <v>8</v>
      </c>
      <c r="M30" s="574"/>
      <c r="N30" s="574"/>
      <c r="O30" s="574"/>
      <c r="P30" s="574"/>
      <c r="Q30" s="574"/>
      <c r="R30" s="574"/>
      <c r="S30" s="574"/>
      <c r="T30" s="574"/>
      <c r="U30" s="574"/>
      <c r="V30" s="574"/>
      <c r="W30" s="574"/>
      <c r="X30" s="574"/>
      <c r="Y30" s="574">
        <f t="shared" si="6"/>
        <v>41965.769999999975</v>
      </c>
      <c r="Z30" s="574">
        <f t="shared" si="2"/>
        <v>436008</v>
      </c>
      <c r="AA30" s="574">
        <f t="shared" si="3"/>
        <v>0</v>
      </c>
      <c r="AB30" s="830">
        <f t="shared" si="4"/>
        <v>0</v>
      </c>
      <c r="AC30" s="830">
        <f t="shared" si="7"/>
        <v>0</v>
      </c>
      <c r="AD30" s="735">
        <f t="shared" si="0"/>
        <v>0</v>
      </c>
      <c r="AE30" s="574">
        <f>(SUMIF(COSTING!$B$10:$B$826,B30,COSTING!$L$10:$L$826))</f>
        <v>0</v>
      </c>
      <c r="AF30" s="1015"/>
    </row>
    <row r="31" spans="2:36">
      <c r="B31" s="572" t="s">
        <v>744</v>
      </c>
      <c r="C31" s="692" t="s">
        <v>1542</v>
      </c>
      <c r="D31" s="578"/>
      <c r="E31" s="578"/>
      <c r="F31" s="572" t="str">
        <f>VLOOKUP(B31,MasterSheet!$B$6:$N$187,5,)</f>
        <v>1kg</v>
      </c>
      <c r="G31" s="720" t="s">
        <v>1856</v>
      </c>
      <c r="H31" s="573">
        <f>VLOOKUP(B31,MasterSheet!$B$6:$N$187,7,)</f>
        <v>79549.8</v>
      </c>
      <c r="I31" s="694">
        <v>18.2</v>
      </c>
      <c r="J31" s="575">
        <v>0</v>
      </c>
      <c r="K31" s="575">
        <v>0</v>
      </c>
      <c r="L31" s="574">
        <v>16.5</v>
      </c>
      <c r="M31" s="574"/>
      <c r="N31" s="574"/>
      <c r="O31" s="574"/>
      <c r="P31" s="574"/>
      <c r="Q31" s="574"/>
      <c r="R31" s="574"/>
      <c r="S31" s="574"/>
      <c r="T31" s="574"/>
      <c r="U31" s="574"/>
      <c r="V31" s="574"/>
      <c r="W31" s="574"/>
      <c r="X31" s="574"/>
      <c r="Y31" s="574">
        <f t="shared" si="6"/>
        <v>135234.65999999995</v>
      </c>
      <c r="Z31" s="574">
        <f t="shared" si="2"/>
        <v>1312571.7</v>
      </c>
      <c r="AA31" s="574">
        <f t="shared" si="3"/>
        <v>0</v>
      </c>
      <c r="AB31" s="830">
        <f t="shared" si="4"/>
        <v>0</v>
      </c>
      <c r="AC31" s="830">
        <f t="shared" si="7"/>
        <v>0</v>
      </c>
      <c r="AD31" s="735">
        <f t="shared" si="0"/>
        <v>0</v>
      </c>
      <c r="AE31" s="574">
        <f>(SUMIF(COSTING!$B$10:$B$826,B31,COSTING!$L$10:$L$826))/1000</f>
        <v>0</v>
      </c>
      <c r="AF31" s="1015"/>
    </row>
    <row r="32" spans="2:36">
      <c r="B32" s="572" t="s">
        <v>1987</v>
      </c>
      <c r="C32" s="692" t="s">
        <v>1988</v>
      </c>
      <c r="D32" s="578"/>
      <c r="E32" s="578"/>
      <c r="F32" s="572" t="str">
        <f>VLOOKUP(B32,MasterSheet!$B$6:$N$187,5,)</f>
        <v>2kg</v>
      </c>
      <c r="G32" s="720" t="s">
        <v>1856</v>
      </c>
      <c r="H32" s="573">
        <f>VLOOKUP(B32,MasterSheet!$B$6:$N$187,7,)</f>
        <v>122100</v>
      </c>
      <c r="I32" s="694">
        <v>12.16</v>
      </c>
      <c r="J32" s="575">
        <v>0</v>
      </c>
      <c r="K32" s="575">
        <v>0</v>
      </c>
      <c r="L32" s="574">
        <v>7.4</v>
      </c>
      <c r="M32" s="574"/>
      <c r="N32" s="574"/>
      <c r="O32" s="574"/>
      <c r="P32" s="574"/>
      <c r="Q32" s="574"/>
      <c r="R32" s="574"/>
      <c r="S32" s="574"/>
      <c r="T32" s="574"/>
      <c r="U32" s="574"/>
      <c r="V32" s="574"/>
      <c r="W32" s="574"/>
      <c r="X32" s="574"/>
      <c r="Y32" s="574">
        <f t="shared" si="6"/>
        <v>581196</v>
      </c>
      <c r="Z32" s="574">
        <f t="shared" si="2"/>
        <v>903540</v>
      </c>
      <c r="AA32" s="574">
        <f t="shared" si="3"/>
        <v>0</v>
      </c>
      <c r="AB32" s="574">
        <f t="shared" si="4"/>
        <v>0</v>
      </c>
      <c r="AC32" s="830">
        <f t="shared" si="7"/>
        <v>0</v>
      </c>
      <c r="AD32" s="735">
        <f t="shared" si="0"/>
        <v>0</v>
      </c>
      <c r="AE32" s="574"/>
      <c r="AF32" s="1015"/>
    </row>
    <row r="33" spans="2:36">
      <c r="B33" s="834" t="s">
        <v>2099</v>
      </c>
      <c r="C33" s="692" t="s">
        <v>2101</v>
      </c>
      <c r="D33" s="836"/>
      <c r="E33" s="836"/>
      <c r="F33" s="572" t="s">
        <v>2102</v>
      </c>
      <c r="G33" s="837" t="s">
        <v>1856</v>
      </c>
      <c r="H33" s="573">
        <f>VLOOKUP(B33,MasterSheet!$B$6:$N$187,7,)</f>
        <v>133657.88</v>
      </c>
      <c r="I33" s="694">
        <v>2.66</v>
      </c>
      <c r="J33" s="575">
        <v>0</v>
      </c>
      <c r="K33" s="575">
        <v>0</v>
      </c>
      <c r="L33" s="574">
        <v>1.91</v>
      </c>
      <c r="M33" s="574"/>
      <c r="N33" s="574"/>
      <c r="O33" s="574"/>
      <c r="P33" s="574"/>
      <c r="Q33" s="574"/>
      <c r="R33" s="574"/>
      <c r="S33" s="574"/>
      <c r="T33" s="574"/>
      <c r="U33" s="574"/>
      <c r="V33" s="574"/>
      <c r="W33" s="574"/>
      <c r="X33" s="574"/>
      <c r="Y33" s="574">
        <f t="shared" si="6"/>
        <v>100243.41000000003</v>
      </c>
      <c r="Z33" s="574">
        <f t="shared" si="2"/>
        <v>255286.5508</v>
      </c>
      <c r="AA33" s="574">
        <f t="shared" si="3"/>
        <v>0</v>
      </c>
      <c r="AB33" s="574">
        <f t="shared" si="4"/>
        <v>0</v>
      </c>
      <c r="AC33" s="830"/>
      <c r="AD33" s="735"/>
      <c r="AE33" s="574"/>
      <c r="AF33" s="1015"/>
    </row>
    <row r="34" spans="2:36">
      <c r="B34" s="834" t="s">
        <v>2103</v>
      </c>
      <c r="C34" s="839" t="s">
        <v>2107</v>
      </c>
      <c r="D34" s="836"/>
      <c r="E34" s="836"/>
      <c r="F34" s="572" t="str">
        <f>VLOOKUP(B34,MasterSheet!$B$6:$N$187,5,)</f>
        <v>1kg</v>
      </c>
      <c r="G34" s="837" t="s">
        <v>1856</v>
      </c>
      <c r="H34" s="573">
        <f>VLOOKUP(B34,MasterSheet!$B$6:$N$187,7,)</f>
        <v>57850</v>
      </c>
      <c r="I34" s="694">
        <v>10.7</v>
      </c>
      <c r="J34" s="575">
        <v>0</v>
      </c>
      <c r="K34" s="575">
        <v>0</v>
      </c>
      <c r="L34" s="574">
        <v>10.199999999999999</v>
      </c>
      <c r="M34" s="574"/>
      <c r="N34" s="574"/>
      <c r="O34" s="574"/>
      <c r="P34" s="574"/>
      <c r="Q34" s="574"/>
      <c r="R34" s="574"/>
      <c r="S34" s="574"/>
      <c r="T34" s="574"/>
      <c r="U34" s="574"/>
      <c r="V34" s="574"/>
      <c r="W34" s="574"/>
      <c r="X34" s="574"/>
      <c r="Y34" s="574">
        <f t="shared" si="6"/>
        <v>28925</v>
      </c>
      <c r="Z34" s="574">
        <f t="shared" si="2"/>
        <v>590070</v>
      </c>
      <c r="AA34" s="574">
        <f t="shared" si="3"/>
        <v>0</v>
      </c>
      <c r="AB34" s="574">
        <f t="shared" si="4"/>
        <v>0</v>
      </c>
      <c r="AC34" s="830"/>
      <c r="AD34" s="735"/>
      <c r="AE34" s="574"/>
      <c r="AF34" s="1015"/>
    </row>
    <row r="35" spans="2:36">
      <c r="B35" s="834" t="s">
        <v>2105</v>
      </c>
      <c r="C35" s="839" t="s">
        <v>2108</v>
      </c>
      <c r="D35" s="836"/>
      <c r="E35" s="836"/>
      <c r="F35" s="835" t="s">
        <v>2109</v>
      </c>
      <c r="G35" s="720" t="s">
        <v>1851</v>
      </c>
      <c r="H35" s="573">
        <f>VLOOKUP(B35,MasterSheet!$B$6:$N$187,7,)</f>
        <v>38850</v>
      </c>
      <c r="I35" s="694">
        <v>23.42</v>
      </c>
      <c r="J35" s="575">
        <v>0</v>
      </c>
      <c r="K35" s="575">
        <v>0</v>
      </c>
      <c r="L35" s="574">
        <v>21.14</v>
      </c>
      <c r="M35" s="574"/>
      <c r="N35" s="574"/>
      <c r="O35" s="574"/>
      <c r="P35" s="574"/>
      <c r="Q35" s="574"/>
      <c r="R35" s="574"/>
      <c r="S35" s="574"/>
      <c r="T35" s="574"/>
      <c r="U35" s="574"/>
      <c r="V35" s="574"/>
      <c r="W35" s="574"/>
      <c r="X35" s="574"/>
      <c r="Y35" s="574">
        <f t="shared" si="6"/>
        <v>88578.000000000044</v>
      </c>
      <c r="Z35" s="574">
        <f t="shared" si="2"/>
        <v>821289</v>
      </c>
      <c r="AA35" s="574">
        <f t="shared" si="3"/>
        <v>0</v>
      </c>
      <c r="AB35" s="574">
        <f t="shared" si="4"/>
        <v>0</v>
      </c>
      <c r="AC35" s="830"/>
      <c r="AD35" s="735"/>
      <c r="AE35" s="574"/>
      <c r="AF35" s="1015"/>
    </row>
    <row r="36" spans="2:36">
      <c r="B36" s="882" t="s">
        <v>1543</v>
      </c>
      <c r="C36" s="883"/>
      <c r="D36" s="883"/>
      <c r="E36" s="883"/>
      <c r="F36" s="883"/>
      <c r="G36" s="883"/>
      <c r="H36" s="883"/>
      <c r="I36" s="883"/>
      <c r="J36" s="883"/>
      <c r="K36" s="883"/>
      <c r="L36" s="883"/>
      <c r="M36" s="883"/>
      <c r="N36" s="883"/>
      <c r="O36" s="883"/>
      <c r="P36" s="883"/>
      <c r="Q36" s="883"/>
      <c r="R36" s="883"/>
      <c r="S36" s="883"/>
      <c r="T36" s="883"/>
      <c r="U36" s="883"/>
      <c r="V36" s="883"/>
      <c r="W36" s="883"/>
      <c r="X36" s="884"/>
      <c r="Y36" s="580">
        <f>SUM(Y37:Y38)</f>
        <v>1899345</v>
      </c>
      <c r="Z36" s="580">
        <f>SUM(Z37:Z38)</f>
        <v>4938297</v>
      </c>
      <c r="AA36" s="580">
        <f>SUM(AA37:AA38)</f>
        <v>0</v>
      </c>
      <c r="AB36" s="580">
        <f>SUM(AB37:AB38)</f>
        <v>0</v>
      </c>
      <c r="AC36" s="580">
        <f>SUM(AC37:AC38)</f>
        <v>0</v>
      </c>
      <c r="AD36" s="735">
        <f t="shared" si="0"/>
        <v>0</v>
      </c>
      <c r="AE36" s="580"/>
      <c r="AF36" s="1010">
        <f>Y36/$Y$2</f>
        <v>2.2742291375931714E-2</v>
      </c>
      <c r="AG36" s="1011" t="e">
        <f>Z36/$Z$2</f>
        <v>#DIV/0!</v>
      </c>
      <c r="AH36" s="1012" t="e">
        <f>AA36/$AA$2</f>
        <v>#DIV/0!</v>
      </c>
      <c r="AI36" s="1012" t="e">
        <f>AB36/$AB$2</f>
        <v>#DIV/0!</v>
      </c>
      <c r="AJ36" s="1012" t="e">
        <f>AC36/$AC$2</f>
        <v>#DIV/0!</v>
      </c>
    </row>
    <row r="37" spans="2:36">
      <c r="B37" s="572" t="s">
        <v>999</v>
      </c>
      <c r="C37" s="572" t="s">
        <v>1544</v>
      </c>
      <c r="D37" s="572"/>
      <c r="E37" s="572"/>
      <c r="F37" s="572" t="str">
        <f>VLOOKUP(B37,MasterSheet!$B$6:$N$187,5,)</f>
        <v>15kg</v>
      </c>
      <c r="G37" s="720" t="s">
        <v>1852</v>
      </c>
      <c r="H37" s="573">
        <f>VLOOKUP(B37,MasterSheet!$B$6:$N$187,7,)</f>
        <v>379869</v>
      </c>
      <c r="I37" s="694">
        <v>18</v>
      </c>
      <c r="J37" s="575">
        <v>0</v>
      </c>
      <c r="K37" s="575">
        <v>0</v>
      </c>
      <c r="L37" s="574">
        <v>13</v>
      </c>
      <c r="M37" s="574"/>
      <c r="N37" s="574"/>
      <c r="O37" s="574"/>
      <c r="P37" s="574"/>
      <c r="Q37" s="574"/>
      <c r="R37" s="574"/>
      <c r="S37" s="574"/>
      <c r="T37" s="574"/>
      <c r="U37" s="574"/>
      <c r="V37" s="574"/>
      <c r="W37" s="574"/>
      <c r="X37" s="574"/>
      <c r="Y37" s="574">
        <f t="shared" si="6"/>
        <v>1899345</v>
      </c>
      <c r="Z37" s="574">
        <f t="shared" si="2"/>
        <v>4938297</v>
      </c>
      <c r="AA37" s="575">
        <f t="shared" si="3"/>
        <v>0</v>
      </c>
      <c r="AB37" s="574">
        <f t="shared" si="4"/>
        <v>0</v>
      </c>
      <c r="AC37" s="574">
        <f t="shared" si="7"/>
        <v>0</v>
      </c>
      <c r="AD37" s="735">
        <f t="shared" si="0"/>
        <v>0</v>
      </c>
      <c r="AE37" s="574">
        <f>(SUMIF(COSTING!$B$10:$B$826,B37,COSTING!$L$10:$L$826))/15000</f>
        <v>2.0064814814814822</v>
      </c>
      <c r="AF37" s="1015"/>
    </row>
    <row r="38" spans="2:36">
      <c r="B38" s="574"/>
      <c r="C38" s="572"/>
      <c r="D38" s="572"/>
      <c r="E38" s="572"/>
      <c r="F38" s="572"/>
      <c r="G38" s="720"/>
      <c r="H38" s="573"/>
      <c r="I38" s="694"/>
      <c r="J38" s="575"/>
      <c r="K38" s="575"/>
      <c r="L38" s="574"/>
      <c r="M38" s="574"/>
      <c r="N38" s="574"/>
      <c r="O38" s="574"/>
      <c r="P38" s="574"/>
      <c r="Q38" s="574"/>
      <c r="R38" s="574"/>
      <c r="S38" s="574"/>
      <c r="T38" s="574"/>
      <c r="U38" s="574"/>
      <c r="V38" s="574"/>
      <c r="W38" s="574"/>
      <c r="X38" s="574"/>
      <c r="Y38" s="574">
        <f t="shared" si="6"/>
        <v>0</v>
      </c>
      <c r="Z38" s="574">
        <f t="shared" si="2"/>
        <v>0</v>
      </c>
      <c r="AA38" s="574">
        <f t="shared" si="3"/>
        <v>0</v>
      </c>
      <c r="AB38" s="574">
        <f t="shared" si="4"/>
        <v>0</v>
      </c>
      <c r="AC38" s="574"/>
      <c r="AD38" s="735">
        <f t="shared" si="0"/>
        <v>0</v>
      </c>
      <c r="AE38" s="574"/>
      <c r="AF38" s="1015"/>
    </row>
    <row r="39" spans="2:36">
      <c r="B39" s="873" t="s">
        <v>1545</v>
      </c>
      <c r="C39" s="874"/>
      <c r="D39" s="874"/>
      <c r="E39" s="874"/>
      <c r="F39" s="874"/>
      <c r="G39" s="874"/>
      <c r="H39" s="874"/>
      <c r="I39" s="874"/>
      <c r="J39" s="874"/>
      <c r="K39" s="874"/>
      <c r="L39" s="874"/>
      <c r="M39" s="874"/>
      <c r="N39" s="874"/>
      <c r="O39" s="874"/>
      <c r="P39" s="874"/>
      <c r="Q39" s="874"/>
      <c r="R39" s="874"/>
      <c r="S39" s="874"/>
      <c r="T39" s="874"/>
      <c r="U39" s="874"/>
      <c r="V39" s="874"/>
      <c r="W39" s="874"/>
      <c r="X39" s="875"/>
      <c r="Y39" s="581">
        <f>SUM(Y40:Y48)</f>
        <v>1317196.3999999999</v>
      </c>
      <c r="Z39" s="581">
        <f>SUM(Z40:Z48)</f>
        <v>1731369.6</v>
      </c>
      <c r="AA39" s="581">
        <f>SUM(AA40:AA48)</f>
        <v>0</v>
      </c>
      <c r="AB39" s="581">
        <f>SUM(AB40:AB48)</f>
        <v>0</v>
      </c>
      <c r="AC39" s="581">
        <f>SUM(AC40:AC48)</f>
        <v>0</v>
      </c>
      <c r="AD39" s="735">
        <f t="shared" si="0"/>
        <v>0</v>
      </c>
      <c r="AE39" s="581"/>
      <c r="AF39" s="1010">
        <f>Y39/$Y$2</f>
        <v>1.5771786762346123E-2</v>
      </c>
      <c r="AG39" s="1011" t="e">
        <f>Z39/$Z$2</f>
        <v>#DIV/0!</v>
      </c>
      <c r="AH39" s="1012" t="e">
        <f>AA39/$AA$2</f>
        <v>#DIV/0!</v>
      </c>
      <c r="AI39" s="1012" t="e">
        <f>AB39/$AB$2</f>
        <v>#DIV/0!</v>
      </c>
      <c r="AJ39" s="1012" t="e">
        <f>AC39/$AC$2</f>
        <v>#DIV/0!</v>
      </c>
    </row>
    <row r="40" spans="2:36">
      <c r="B40" s="572" t="s">
        <v>641</v>
      </c>
      <c r="C40" s="572" t="s">
        <v>1546</v>
      </c>
      <c r="D40" s="572"/>
      <c r="E40" s="572"/>
      <c r="F40" s="572" t="str">
        <f>VLOOKUP(B40,MasterSheet!$B$6:$N$187,5,)</f>
        <v>1kg</v>
      </c>
      <c r="G40" s="720" t="s">
        <v>1856</v>
      </c>
      <c r="H40" s="573">
        <f>VLOOKUP(B40,MasterSheet!$B$6:$N$187,7,)</f>
        <v>45000</v>
      </c>
      <c r="I40" s="694">
        <v>4.0999999999999996</v>
      </c>
      <c r="J40" s="575">
        <v>0</v>
      </c>
      <c r="K40" s="575">
        <v>0</v>
      </c>
      <c r="L40" s="574">
        <v>2.98</v>
      </c>
      <c r="M40" s="574"/>
      <c r="N40" s="574"/>
      <c r="O40" s="724"/>
      <c r="P40" s="574"/>
      <c r="Q40" s="574"/>
      <c r="R40" s="574"/>
      <c r="S40" s="574"/>
      <c r="T40" s="574"/>
      <c r="U40" s="574"/>
      <c r="V40" s="574"/>
      <c r="W40" s="574"/>
      <c r="X40" s="574"/>
      <c r="Y40" s="574">
        <f t="shared" si="6"/>
        <v>50399.999999999985</v>
      </c>
      <c r="Z40" s="574">
        <f t="shared" si="2"/>
        <v>134100</v>
      </c>
      <c r="AA40" s="574">
        <f t="shared" si="3"/>
        <v>0</v>
      </c>
      <c r="AB40" s="830">
        <f t="shared" si="4"/>
        <v>0</v>
      </c>
      <c r="AC40" s="830">
        <f t="shared" ref="AC40:AC104" si="8">IFERROR(SUM(U40,V40,W40)-X40,"")*H40</f>
        <v>0</v>
      </c>
      <c r="AD40" s="735">
        <f t="shared" si="0"/>
        <v>0</v>
      </c>
      <c r="AE40" s="574">
        <f>(SUMIF(COSTING!$B$10:$B$826,B40,COSTING!$L$10:$L$826))/1000</f>
        <v>0</v>
      </c>
      <c r="AF40" s="1015"/>
    </row>
    <row r="41" spans="2:36">
      <c r="B41" s="572" t="s">
        <v>1740</v>
      </c>
      <c r="C41" s="572" t="s">
        <v>1547</v>
      </c>
      <c r="D41" s="572"/>
      <c r="E41" s="572"/>
      <c r="F41" s="572" t="str">
        <f>VLOOKUP(B41,MasterSheet!$B$6:$N$187,5,)</f>
        <v>950ml</v>
      </c>
      <c r="G41" s="720" t="s">
        <v>1855</v>
      </c>
      <c r="H41" s="573">
        <f>VLOOKUP(B41,MasterSheet!$B$6:$N$187,7,)</f>
        <v>17500</v>
      </c>
      <c r="I41" s="694">
        <v>8.6999999999999993</v>
      </c>
      <c r="J41" s="575">
        <v>0</v>
      </c>
      <c r="K41" s="575">
        <v>0</v>
      </c>
      <c r="L41" s="574">
        <v>7</v>
      </c>
      <c r="M41" s="574"/>
      <c r="N41" s="574"/>
      <c r="O41" s="574"/>
      <c r="P41" s="574"/>
      <c r="Q41" s="574"/>
      <c r="R41" s="574"/>
      <c r="S41" s="574"/>
      <c r="T41" s="574"/>
      <c r="U41" s="574"/>
      <c r="V41" s="574"/>
      <c r="W41" s="574"/>
      <c r="X41" s="574"/>
      <c r="Y41" s="574">
        <f t="shared" si="6"/>
        <v>29749.999999999989</v>
      </c>
      <c r="Z41" s="574">
        <f t="shared" si="2"/>
        <v>122500</v>
      </c>
      <c r="AA41" s="574">
        <f t="shared" si="3"/>
        <v>0</v>
      </c>
      <c r="AB41" s="830">
        <f t="shared" si="4"/>
        <v>0</v>
      </c>
      <c r="AC41" s="830">
        <f t="shared" si="8"/>
        <v>0</v>
      </c>
      <c r="AD41" s="735">
        <f t="shared" si="0"/>
        <v>0</v>
      </c>
      <c r="AE41" s="574">
        <f>(SUMIF(COSTING!$B$10:$B$826,B41,COSTING!$L$10:$L$826))/1000</f>
        <v>0</v>
      </c>
      <c r="AF41" s="1015"/>
    </row>
    <row r="42" spans="2:36">
      <c r="B42" s="572" t="s">
        <v>1107</v>
      </c>
      <c r="C42" s="572" t="s">
        <v>1548</v>
      </c>
      <c r="D42" s="572"/>
      <c r="E42" s="572"/>
      <c r="F42" s="572" t="str">
        <f>VLOOKUP(B42,MasterSheet!$B$6:$N$187,5,)</f>
        <v>60g</v>
      </c>
      <c r="G42" s="720" t="s">
        <v>1851</v>
      </c>
      <c r="H42" s="573">
        <f>VLOOKUP(B42,MasterSheet!$B$6:$N$187,7,)</f>
        <v>23220</v>
      </c>
      <c r="I42" s="694">
        <v>21</v>
      </c>
      <c r="J42" s="575">
        <v>0</v>
      </c>
      <c r="K42" s="575">
        <v>0</v>
      </c>
      <c r="L42" s="574">
        <v>19.68</v>
      </c>
      <c r="M42" s="574"/>
      <c r="N42" s="574"/>
      <c r="O42" s="574"/>
      <c r="P42" s="574"/>
      <c r="Q42" s="574"/>
      <c r="R42" s="574"/>
      <c r="S42" s="574"/>
      <c r="T42" s="574"/>
      <c r="U42" s="574"/>
      <c r="V42" s="574"/>
      <c r="W42" s="574"/>
      <c r="X42" s="574"/>
      <c r="Y42" s="574">
        <f t="shared" si="6"/>
        <v>30650.400000000005</v>
      </c>
      <c r="Z42" s="574">
        <f t="shared" si="2"/>
        <v>456969.6</v>
      </c>
      <c r="AA42" s="574">
        <f t="shared" si="3"/>
        <v>0</v>
      </c>
      <c r="AB42" s="830">
        <f t="shared" si="4"/>
        <v>0</v>
      </c>
      <c r="AC42" s="830">
        <f t="shared" si="8"/>
        <v>0</v>
      </c>
      <c r="AD42" s="735">
        <f t="shared" si="0"/>
        <v>0</v>
      </c>
      <c r="AE42" s="574">
        <f>(SUMIF(COSTING!$B$10:$B$826,B42,COSTING!$L$10:$L$826))/1000</f>
        <v>0.48499999999999999</v>
      </c>
      <c r="AF42" s="1015"/>
    </row>
    <row r="43" spans="2:36">
      <c r="B43" s="572" t="s">
        <v>804</v>
      </c>
      <c r="C43" s="572" t="s">
        <v>1549</v>
      </c>
      <c r="D43" s="572"/>
      <c r="E43" s="578"/>
      <c r="F43" s="572" t="str">
        <f>VLOOKUP(B43,MasterSheet!$B$6:$N$187,5,)</f>
        <v>1kg</v>
      </c>
      <c r="G43" s="720" t="s">
        <v>1856</v>
      </c>
      <c r="H43" s="573">
        <f>VLOOKUP(B43,MasterSheet!$B$6:$N$187,7,)</f>
        <v>35000</v>
      </c>
      <c r="I43" s="694">
        <v>1.46</v>
      </c>
      <c r="J43" s="575">
        <v>6</v>
      </c>
      <c r="K43" s="575">
        <v>0</v>
      </c>
      <c r="L43" s="574">
        <v>4.4000000000000004</v>
      </c>
      <c r="M43" s="574"/>
      <c r="N43" s="574"/>
      <c r="O43" s="574"/>
      <c r="P43" s="574"/>
      <c r="Q43" s="574"/>
      <c r="R43" s="574"/>
      <c r="S43" s="574"/>
      <c r="T43" s="574"/>
      <c r="U43" s="574"/>
      <c r="V43" s="574"/>
      <c r="W43" s="574"/>
      <c r="X43" s="574"/>
      <c r="Y43" s="574">
        <f t="shared" si="6"/>
        <v>107099.99999999999</v>
      </c>
      <c r="Z43" s="574">
        <f t="shared" si="2"/>
        <v>154000</v>
      </c>
      <c r="AA43" s="574">
        <f t="shared" si="3"/>
        <v>0</v>
      </c>
      <c r="AB43" s="830">
        <f t="shared" si="4"/>
        <v>0</v>
      </c>
      <c r="AC43" s="830">
        <f t="shared" si="8"/>
        <v>0</v>
      </c>
      <c r="AD43" s="735">
        <f t="shared" si="0"/>
        <v>0</v>
      </c>
      <c r="AE43" s="574">
        <f>(SUMIF(COSTING!$B$10:$B$826,B43,COSTING!$L$10:$L$826))/1000</f>
        <v>3.6050000000000006E-2</v>
      </c>
      <c r="AF43" s="1015"/>
    </row>
    <row r="44" spans="2:36">
      <c r="B44" s="572" t="s">
        <v>748</v>
      </c>
      <c r="C44" s="572" t="s">
        <v>1550</v>
      </c>
      <c r="D44" s="572"/>
      <c r="E44" s="572"/>
      <c r="F44" s="572" t="str">
        <f>VLOOKUP(B44,MasterSheet!$B$6:$N$187,5,)</f>
        <v>1000ml</v>
      </c>
      <c r="G44" s="720" t="s">
        <v>1857</v>
      </c>
      <c r="H44" s="573">
        <f>VLOOKUP(B44,MasterSheet!$B$6:$N$187,7,)</f>
        <v>80000</v>
      </c>
      <c r="I44" s="694">
        <v>2</v>
      </c>
      <c r="J44" s="575">
        <v>0</v>
      </c>
      <c r="K44" s="575">
        <v>0</v>
      </c>
      <c r="L44" s="574">
        <v>2</v>
      </c>
      <c r="M44" s="574"/>
      <c r="N44" s="574"/>
      <c r="O44" s="574"/>
      <c r="P44" s="574"/>
      <c r="Q44" s="574"/>
      <c r="R44" s="574"/>
      <c r="S44" s="574"/>
      <c r="T44" s="574"/>
      <c r="U44" s="574"/>
      <c r="V44" s="574"/>
      <c r="W44" s="574"/>
      <c r="X44" s="574"/>
      <c r="Y44" s="574">
        <f t="shared" si="6"/>
        <v>0</v>
      </c>
      <c r="Z44" s="574">
        <f t="shared" si="2"/>
        <v>160000</v>
      </c>
      <c r="AA44" s="574">
        <f t="shared" si="3"/>
        <v>0</v>
      </c>
      <c r="AB44" s="830">
        <f t="shared" si="4"/>
        <v>0</v>
      </c>
      <c r="AC44" s="830">
        <f t="shared" si="8"/>
        <v>0</v>
      </c>
      <c r="AD44" s="735">
        <f t="shared" si="0"/>
        <v>0</v>
      </c>
      <c r="AE44" s="574">
        <f>(SUMIF(COSTING!$B$10:$B$826,B44,COSTING!$L$10:$L$826))/1000</f>
        <v>0</v>
      </c>
      <c r="AF44" s="1015"/>
    </row>
    <row r="45" spans="2:36">
      <c r="B45" s="572" t="s">
        <v>673</v>
      </c>
      <c r="C45" s="572" t="s">
        <v>1551</v>
      </c>
      <c r="D45" s="572"/>
      <c r="E45" s="572"/>
      <c r="F45" s="572" t="str">
        <f>VLOOKUP(B45,MasterSheet!$B$6:$N$187,5,)</f>
        <v>1kg</v>
      </c>
      <c r="G45" s="720" t="s">
        <v>1856</v>
      </c>
      <c r="H45" s="573">
        <f>VLOOKUP(B45,MasterSheet!$B$6:$N$187,7,)</f>
        <v>14500</v>
      </c>
      <c r="I45" s="694">
        <v>117</v>
      </c>
      <c r="J45" s="575">
        <v>0</v>
      </c>
      <c r="K45" s="575">
        <v>0</v>
      </c>
      <c r="L45" s="574">
        <v>44</v>
      </c>
      <c r="M45" s="574"/>
      <c r="N45" s="574"/>
      <c r="O45" s="574"/>
      <c r="P45" s="574"/>
      <c r="Q45" s="574"/>
      <c r="R45" s="574"/>
      <c r="S45" s="574"/>
      <c r="T45" s="574"/>
      <c r="U45" s="574"/>
      <c r="V45" s="574"/>
      <c r="W45" s="574"/>
      <c r="X45" s="574"/>
      <c r="Y45" s="574">
        <f t="shared" si="6"/>
        <v>1058500</v>
      </c>
      <c r="Z45" s="574">
        <f t="shared" si="2"/>
        <v>638000</v>
      </c>
      <c r="AA45" s="574">
        <f t="shared" si="3"/>
        <v>0</v>
      </c>
      <c r="AB45" s="830">
        <f t="shared" si="4"/>
        <v>0</v>
      </c>
      <c r="AC45" s="830">
        <f t="shared" si="8"/>
        <v>0</v>
      </c>
      <c r="AD45" s="735">
        <f t="shared" si="0"/>
        <v>0</v>
      </c>
      <c r="AE45" s="574">
        <f>(SUMIF(COSTING!$B$10:$B$826,B45,COSTING!$L$10:$L$826))/1000</f>
        <v>0</v>
      </c>
      <c r="AF45" s="1015"/>
    </row>
    <row r="46" spans="2:36">
      <c r="B46" s="572" t="s">
        <v>672</v>
      </c>
      <c r="C46" s="572" t="s">
        <v>1552</v>
      </c>
      <c r="D46" s="572"/>
      <c r="E46" s="572"/>
      <c r="F46" s="572" t="str">
        <f>VLOOKUP(B46,MasterSheet!$B$6:$N$187,5,)</f>
        <v>1kg</v>
      </c>
      <c r="G46" s="720" t="s">
        <v>1856</v>
      </c>
      <c r="H46" s="573">
        <f>VLOOKUP(B46,MasterSheet!$B$6:$N$187,7,)</f>
        <v>26320</v>
      </c>
      <c r="I46" s="694">
        <v>1.05</v>
      </c>
      <c r="J46" s="575">
        <v>3</v>
      </c>
      <c r="K46" s="575">
        <v>0</v>
      </c>
      <c r="L46" s="574">
        <v>2.5</v>
      </c>
      <c r="M46" s="574"/>
      <c r="N46" s="574"/>
      <c r="O46" s="574"/>
      <c r="P46" s="574"/>
      <c r="Q46" s="574"/>
      <c r="R46" s="574"/>
      <c r="S46" s="574"/>
      <c r="T46" s="574"/>
      <c r="U46" s="574"/>
      <c r="V46" s="574"/>
      <c r="W46" s="574"/>
      <c r="X46" s="574"/>
      <c r="Y46" s="574">
        <f t="shared" si="6"/>
        <v>40795.999999999993</v>
      </c>
      <c r="Z46" s="574">
        <f t="shared" si="2"/>
        <v>65800</v>
      </c>
      <c r="AA46" s="574">
        <f t="shared" si="3"/>
        <v>0</v>
      </c>
      <c r="AB46" s="830">
        <f t="shared" si="4"/>
        <v>0</v>
      </c>
      <c r="AC46" s="830">
        <f t="shared" si="8"/>
        <v>0</v>
      </c>
      <c r="AD46" s="735">
        <f t="shared" si="0"/>
        <v>0</v>
      </c>
      <c r="AE46" s="574">
        <f>(SUMIF(COSTING!$B$10:$B$826,B46,COSTING!$L$10:$L$826))/1000</f>
        <v>0.14799999999999999</v>
      </c>
      <c r="AF46" s="1015"/>
    </row>
    <row r="47" spans="2:36">
      <c r="B47" s="572" t="s">
        <v>1740</v>
      </c>
      <c r="C47" s="572" t="s">
        <v>1547</v>
      </c>
      <c r="D47" s="572"/>
      <c r="E47" s="578"/>
      <c r="F47" s="572" t="str">
        <f>VLOOKUP(B47,MasterSheet!$B$6:$N$187,5,)</f>
        <v>950ml</v>
      </c>
      <c r="G47" s="720" t="s">
        <v>1855</v>
      </c>
      <c r="H47" s="573">
        <f>VLOOKUP(B47,MasterSheet!$B$6:$N$187,7,)</f>
        <v>17500</v>
      </c>
      <c r="I47" s="694"/>
      <c r="J47" s="575"/>
      <c r="K47" s="575"/>
      <c r="L47" s="574"/>
      <c r="M47" s="574"/>
      <c r="N47" s="574"/>
      <c r="O47" s="574"/>
      <c r="P47" s="574"/>
      <c r="Q47" s="574"/>
      <c r="R47" s="574"/>
      <c r="S47" s="574"/>
      <c r="T47" s="574"/>
      <c r="U47" s="574"/>
      <c r="V47" s="574"/>
      <c r="W47" s="574"/>
      <c r="X47" s="574"/>
      <c r="Y47" s="574">
        <f t="shared" si="6"/>
        <v>0</v>
      </c>
      <c r="Z47" s="574">
        <f t="shared" si="2"/>
        <v>0</v>
      </c>
      <c r="AA47" s="574">
        <f t="shared" si="3"/>
        <v>0</v>
      </c>
      <c r="AB47" s="830">
        <f t="shared" si="4"/>
        <v>0</v>
      </c>
      <c r="AC47" s="830">
        <f t="shared" si="8"/>
        <v>0</v>
      </c>
      <c r="AD47" s="735">
        <f t="shared" si="0"/>
        <v>0</v>
      </c>
      <c r="AE47" s="574"/>
      <c r="AF47" s="1015"/>
    </row>
    <row r="48" spans="2:36">
      <c r="B48" s="574"/>
      <c r="C48" s="572"/>
      <c r="D48" s="572"/>
      <c r="E48" s="578"/>
      <c r="F48" s="572"/>
      <c r="G48" s="720"/>
      <c r="H48" s="573"/>
      <c r="I48" s="575"/>
      <c r="J48" s="575"/>
      <c r="K48" s="575"/>
      <c r="L48" s="574"/>
      <c r="M48" s="574"/>
      <c r="N48" s="574"/>
      <c r="O48" s="574"/>
      <c r="P48" s="574"/>
      <c r="Q48" s="574"/>
      <c r="R48" s="574"/>
      <c r="S48" s="574"/>
      <c r="T48" s="574"/>
      <c r="U48" s="574"/>
      <c r="V48" s="574"/>
      <c r="W48" s="574"/>
      <c r="X48" s="574"/>
      <c r="Y48" s="574">
        <f t="shared" si="6"/>
        <v>0</v>
      </c>
      <c r="Z48" s="574">
        <f t="shared" si="2"/>
        <v>0</v>
      </c>
      <c r="AA48" s="574">
        <f t="shared" si="3"/>
        <v>0</v>
      </c>
      <c r="AB48" s="830">
        <f t="shared" si="4"/>
        <v>0</v>
      </c>
      <c r="AC48" s="830">
        <f t="shared" si="8"/>
        <v>0</v>
      </c>
      <c r="AD48" s="735">
        <f t="shared" si="0"/>
        <v>0</v>
      </c>
      <c r="AE48" s="574"/>
      <c r="AF48" s="1015"/>
    </row>
    <row r="49" spans="2:36">
      <c r="B49" s="879" t="s">
        <v>1553</v>
      </c>
      <c r="C49" s="880"/>
      <c r="D49" s="880"/>
      <c r="E49" s="880"/>
      <c r="F49" s="880"/>
      <c r="G49" s="880"/>
      <c r="H49" s="880"/>
      <c r="I49" s="880"/>
      <c r="J49" s="880"/>
      <c r="K49" s="880"/>
      <c r="L49" s="880"/>
      <c r="M49" s="880"/>
      <c r="N49" s="880"/>
      <c r="O49" s="880"/>
      <c r="P49" s="880"/>
      <c r="Q49" s="880"/>
      <c r="R49" s="880"/>
      <c r="S49" s="880"/>
      <c r="T49" s="880"/>
      <c r="U49" s="880"/>
      <c r="V49" s="880"/>
      <c r="W49" s="880"/>
      <c r="X49" s="881"/>
      <c r="Y49" s="582">
        <f>SUM(Y50:Y69)</f>
        <v>2102196.1854999997</v>
      </c>
      <c r="Z49" s="582">
        <f>SUM(Z50:Z69)</f>
        <v>4381886.4313000003</v>
      </c>
      <c r="AA49" s="582">
        <f>SUM(AA50:AA69)</f>
        <v>0</v>
      </c>
      <c r="AB49" s="582">
        <f>SUM(AB50:AB69)</f>
        <v>0</v>
      </c>
      <c r="AC49" s="582">
        <f>SUM(AC50:AC69)</f>
        <v>0</v>
      </c>
      <c r="AD49" s="735">
        <f t="shared" si="0"/>
        <v>0</v>
      </c>
      <c r="AE49" s="582"/>
      <c r="AF49" s="1010">
        <f>Y49/$Y$2</f>
        <v>2.5171181738974851E-2</v>
      </c>
      <c r="AG49" s="1011" t="e">
        <f>Z49/$Z$2</f>
        <v>#DIV/0!</v>
      </c>
      <c r="AH49" s="1012" t="e">
        <f>AA49/$AA$2</f>
        <v>#DIV/0!</v>
      </c>
      <c r="AI49" s="1012" t="e">
        <f>AB49/$AB$2</f>
        <v>#DIV/0!</v>
      </c>
      <c r="AJ49" s="1012" t="e">
        <f>AC49/$AC$2</f>
        <v>#DIV/0!</v>
      </c>
    </row>
    <row r="50" spans="2:36">
      <c r="B50" s="572" t="s">
        <v>1699</v>
      </c>
      <c r="C50" s="572" t="s">
        <v>1698</v>
      </c>
      <c r="D50" s="572"/>
      <c r="E50" s="572"/>
      <c r="F50" s="572" t="str">
        <f>VLOOKUP(B50,MasterSheet!$B$6:$N$187,5,)</f>
        <v>1kg</v>
      </c>
      <c r="G50" s="720" t="s">
        <v>1851</v>
      </c>
      <c r="H50" s="573">
        <f>VLOOKUP(B50,MasterSheet!$B$6:$N$187,7,)</f>
        <v>135000</v>
      </c>
      <c r="I50" s="694">
        <v>0.7</v>
      </c>
      <c r="J50" s="575">
        <v>0</v>
      </c>
      <c r="K50" s="575">
        <v>0</v>
      </c>
      <c r="L50" s="574">
        <v>0.23</v>
      </c>
      <c r="M50" s="574"/>
      <c r="N50" s="574"/>
      <c r="O50" s="574"/>
      <c r="P50" s="574"/>
      <c r="Q50" s="574"/>
      <c r="R50" s="574"/>
      <c r="S50" s="574"/>
      <c r="T50" s="574"/>
      <c r="U50" s="574"/>
      <c r="V50" s="574"/>
      <c r="W50" s="574"/>
      <c r="X50" s="574"/>
      <c r="Y50" s="574">
        <f t="shared" si="6"/>
        <v>63450</v>
      </c>
      <c r="Z50" s="574">
        <f t="shared" si="2"/>
        <v>31050</v>
      </c>
      <c r="AA50" s="574">
        <f t="shared" si="3"/>
        <v>0</v>
      </c>
      <c r="AB50" s="574">
        <f t="shared" si="4"/>
        <v>0</v>
      </c>
      <c r="AC50" s="574">
        <f t="shared" si="8"/>
        <v>0</v>
      </c>
      <c r="AD50" s="735">
        <f t="shared" si="0"/>
        <v>0</v>
      </c>
      <c r="AE50" s="574">
        <f>(SUMIF(COSTING!$B$10:$B$826,B50,COSTING!$L$10:$L$826))/1000</f>
        <v>0</v>
      </c>
      <c r="AF50" s="1015"/>
    </row>
    <row r="51" spans="2:36">
      <c r="B51" s="572" t="s">
        <v>1004</v>
      </c>
      <c r="C51" s="572" t="s">
        <v>1697</v>
      </c>
      <c r="D51" s="572"/>
      <c r="E51" s="572"/>
      <c r="F51" s="572" t="str">
        <f>VLOOKUP(B51,MasterSheet!$B$6:$N$187,5,)</f>
        <v>1kg</v>
      </c>
      <c r="G51" s="720" t="s">
        <v>1851</v>
      </c>
      <c r="H51" s="573">
        <f>VLOOKUP(B51,MasterSheet!$B$6:$N$187,7,)</f>
        <v>89900</v>
      </c>
      <c r="I51" s="694">
        <v>2.1</v>
      </c>
      <c r="J51" s="575">
        <v>0</v>
      </c>
      <c r="K51" s="575">
        <v>0</v>
      </c>
      <c r="L51" s="574">
        <v>1.6</v>
      </c>
      <c r="M51" s="574"/>
      <c r="N51" s="574"/>
      <c r="O51" s="574"/>
      <c r="P51" s="574"/>
      <c r="Q51" s="574"/>
      <c r="R51" s="574"/>
      <c r="S51" s="574"/>
      <c r="T51" s="574"/>
      <c r="U51" s="574"/>
      <c r="V51" s="574"/>
      <c r="W51" s="574"/>
      <c r="X51" s="574"/>
      <c r="Y51" s="574">
        <f t="shared" si="6"/>
        <v>44950</v>
      </c>
      <c r="Z51" s="574">
        <f t="shared" si="2"/>
        <v>143840</v>
      </c>
      <c r="AA51" s="574">
        <f t="shared" si="3"/>
        <v>0</v>
      </c>
      <c r="AB51" s="574">
        <f t="shared" si="4"/>
        <v>0</v>
      </c>
      <c r="AC51" s="574">
        <f t="shared" si="8"/>
        <v>0</v>
      </c>
      <c r="AD51" s="735">
        <f t="shared" si="0"/>
        <v>0</v>
      </c>
      <c r="AE51" s="574">
        <f>(SUMIF(COSTING!$B$10:$B$826,B51,COSTING!$L$10:$L$826))/1000</f>
        <v>1.056</v>
      </c>
      <c r="AF51" s="1015"/>
    </row>
    <row r="52" spans="2:36">
      <c r="B52" s="572" t="s">
        <v>671</v>
      </c>
      <c r="C52" s="572" t="s">
        <v>1554</v>
      </c>
      <c r="D52" s="572"/>
      <c r="E52" s="572"/>
      <c r="F52" s="572" t="str">
        <f>VLOOKUP(B52,MasterSheet!$B$6:$N$187,5,)</f>
        <v>500g</v>
      </c>
      <c r="G52" s="720" t="s">
        <v>1851</v>
      </c>
      <c r="H52" s="573">
        <f>VLOOKUP(B52,MasterSheet!$B$6:$N$187,7,)</f>
        <v>91000</v>
      </c>
      <c r="I52" s="694">
        <v>0</v>
      </c>
      <c r="J52" s="575">
        <v>0</v>
      </c>
      <c r="K52" s="575">
        <v>0</v>
      </c>
      <c r="L52" s="574">
        <v>0</v>
      </c>
      <c r="M52" s="574"/>
      <c r="N52" s="574"/>
      <c r="O52" s="574"/>
      <c r="P52" s="574"/>
      <c r="Q52" s="574"/>
      <c r="R52" s="574"/>
      <c r="S52" s="574"/>
      <c r="T52" s="574"/>
      <c r="U52" s="574"/>
      <c r="V52" s="574"/>
      <c r="W52" s="574"/>
      <c r="X52" s="574"/>
      <c r="Y52" s="574">
        <f t="shared" si="6"/>
        <v>0</v>
      </c>
      <c r="Z52" s="574">
        <f t="shared" si="2"/>
        <v>0</v>
      </c>
      <c r="AA52" s="574">
        <f t="shared" si="3"/>
        <v>0</v>
      </c>
      <c r="AB52" s="574">
        <f t="shared" si="4"/>
        <v>0</v>
      </c>
      <c r="AC52" s="574">
        <f t="shared" si="8"/>
        <v>0</v>
      </c>
      <c r="AD52" s="735">
        <f t="shared" si="0"/>
        <v>0</v>
      </c>
      <c r="AE52" s="574">
        <f>(SUMIF(COSTING!$B$10:$B$826,B52,COSTING!$L$10:$L$826))/1000</f>
        <v>0</v>
      </c>
      <c r="AF52" s="1015"/>
    </row>
    <row r="53" spans="2:36">
      <c r="B53" s="572" t="s">
        <v>910</v>
      </c>
      <c r="C53" s="572" t="s">
        <v>1555</v>
      </c>
      <c r="D53" s="572"/>
      <c r="E53" s="572"/>
      <c r="F53" s="572" t="str">
        <f>VLOOKUP(B53,MasterSheet!$B$6:$N$187,5,)</f>
        <v>1kg</v>
      </c>
      <c r="G53" s="720" t="s">
        <v>1851</v>
      </c>
      <c r="H53" s="573">
        <f>VLOOKUP(B53,MasterSheet!$B$6:$N$187,7,)</f>
        <v>88800</v>
      </c>
      <c r="I53" s="694">
        <v>16.77</v>
      </c>
      <c r="J53" s="575">
        <v>0</v>
      </c>
      <c r="K53" s="575">
        <v>0</v>
      </c>
      <c r="L53" s="574">
        <v>15.17</v>
      </c>
      <c r="M53" s="574"/>
      <c r="N53" s="574"/>
      <c r="O53" s="574"/>
      <c r="P53" s="574"/>
      <c r="Q53" s="574"/>
      <c r="R53" s="574"/>
      <c r="S53" s="574"/>
      <c r="T53" s="574"/>
      <c r="U53" s="574"/>
      <c r="V53" s="574"/>
      <c r="W53" s="574"/>
      <c r="X53" s="574"/>
      <c r="Y53" s="575">
        <f t="shared" si="6"/>
        <v>142079.99999999997</v>
      </c>
      <c r="Z53" s="575">
        <f t="shared" si="2"/>
        <v>1347096</v>
      </c>
      <c r="AA53" s="575">
        <f t="shared" si="3"/>
        <v>0</v>
      </c>
      <c r="AB53" s="575">
        <f t="shared" si="4"/>
        <v>0</v>
      </c>
      <c r="AC53" s="574">
        <f t="shared" si="8"/>
        <v>0</v>
      </c>
      <c r="AD53" s="735">
        <f t="shared" si="0"/>
        <v>0</v>
      </c>
      <c r="AE53" s="574">
        <f>(SUMIF(COSTING!$B$10:$B$826,B53,COSTING!$L$10:$L$826))/1000</f>
        <v>0</v>
      </c>
      <c r="AF53" s="1015"/>
      <c r="AG53" s="1016"/>
    </row>
    <row r="54" spans="2:36">
      <c r="B54" s="572" t="s">
        <v>1727</v>
      </c>
      <c r="C54" s="572" t="s">
        <v>1556</v>
      </c>
      <c r="D54" s="572"/>
      <c r="E54" s="572"/>
      <c r="F54" s="572" t="str">
        <f>VLOOKUP(B54,MasterSheet!$B$6:$N$187,5,)</f>
        <v>250g</v>
      </c>
      <c r="G54" s="720" t="s">
        <v>1851</v>
      </c>
      <c r="H54" s="573">
        <f>VLOOKUP(B54,MasterSheet!$B$6:$N$187,7,)</f>
        <v>39000</v>
      </c>
      <c r="I54" s="694">
        <v>0</v>
      </c>
      <c r="J54" s="575">
        <v>0</v>
      </c>
      <c r="K54" s="575">
        <v>0</v>
      </c>
      <c r="L54" s="574">
        <v>0</v>
      </c>
      <c r="M54" s="574"/>
      <c r="N54" s="574"/>
      <c r="O54" s="574"/>
      <c r="P54" s="574"/>
      <c r="Q54" s="574"/>
      <c r="R54" s="574"/>
      <c r="S54" s="574"/>
      <c r="T54" s="574"/>
      <c r="U54" s="574"/>
      <c r="V54" s="574"/>
      <c r="W54" s="574"/>
      <c r="X54" s="574"/>
      <c r="Y54" s="575">
        <f t="shared" si="6"/>
        <v>0</v>
      </c>
      <c r="Z54" s="575">
        <f t="shared" si="2"/>
        <v>0</v>
      </c>
      <c r="AA54" s="575">
        <f t="shared" si="3"/>
        <v>0</v>
      </c>
      <c r="AB54" s="575">
        <f t="shared" si="4"/>
        <v>0</v>
      </c>
      <c r="AC54" s="574">
        <f t="shared" si="8"/>
        <v>0</v>
      </c>
      <c r="AD54" s="735">
        <f t="shared" si="0"/>
        <v>0</v>
      </c>
      <c r="AE54" s="574">
        <f>(SUMIF(COSTING!$B$10:$B$826,B54,COSTING!$L$10:$L$826))/1000</f>
        <v>0</v>
      </c>
      <c r="AF54" s="1015"/>
      <c r="AG54" s="1016"/>
    </row>
    <row r="55" spans="2:36">
      <c r="B55" s="572" t="s">
        <v>1230</v>
      </c>
      <c r="C55" s="572" t="s">
        <v>1557</v>
      </c>
      <c r="D55" s="572"/>
      <c r="E55" s="572"/>
      <c r="F55" s="572" t="str">
        <f>VLOOKUP(B55,MasterSheet!$B$6:$N$187,5,)</f>
        <v>1kg</v>
      </c>
      <c r="G55" s="720" t="s">
        <v>1851</v>
      </c>
      <c r="H55" s="573">
        <f>VLOOKUP(B55,MasterSheet!$B$6:$N$187,7,)</f>
        <v>110000</v>
      </c>
      <c r="I55" s="694">
        <v>0.5</v>
      </c>
      <c r="J55" s="575">
        <v>0</v>
      </c>
      <c r="K55" s="575">
        <v>0</v>
      </c>
      <c r="L55" s="574">
        <v>0.45</v>
      </c>
      <c r="M55" s="574"/>
      <c r="N55" s="574"/>
      <c r="O55" s="574"/>
      <c r="P55" s="574"/>
      <c r="Q55" s="574"/>
      <c r="R55" s="574"/>
      <c r="S55" s="574"/>
      <c r="T55" s="574"/>
      <c r="U55" s="574"/>
      <c r="V55" s="574"/>
      <c r="W55" s="574"/>
      <c r="X55" s="574"/>
      <c r="Y55" s="575">
        <f t="shared" si="6"/>
        <v>5499.9999999999991</v>
      </c>
      <c r="Z55" s="575">
        <f t="shared" si="2"/>
        <v>49500</v>
      </c>
      <c r="AA55" s="575">
        <f t="shared" si="3"/>
        <v>0</v>
      </c>
      <c r="AB55" s="830">
        <f t="shared" si="4"/>
        <v>0</v>
      </c>
      <c r="AC55" s="574">
        <f t="shared" si="8"/>
        <v>0</v>
      </c>
      <c r="AD55" s="735">
        <f t="shared" si="0"/>
        <v>0</v>
      </c>
      <c r="AE55" s="574">
        <f>(SUMIF(COSTING!$B$10:$B$826,B55,COSTING!$L$10:$L$826))/1000</f>
        <v>0</v>
      </c>
      <c r="AF55" s="1015"/>
    </row>
    <row r="56" spans="2:36">
      <c r="B56" s="572" t="s">
        <v>1108</v>
      </c>
      <c r="C56" s="572" t="s">
        <v>1558</v>
      </c>
      <c r="D56" s="572"/>
      <c r="E56" s="572"/>
      <c r="F56" s="572" t="str">
        <f>VLOOKUP(B56,MasterSheet!$B$6:$N$187,5,)</f>
        <v>1kg</v>
      </c>
      <c r="G56" s="720" t="s">
        <v>1851</v>
      </c>
      <c r="H56" s="573">
        <f>VLOOKUP(B56,MasterSheet!$B$6:$N$187,7,)</f>
        <v>61900</v>
      </c>
      <c r="I56" s="694">
        <v>1</v>
      </c>
      <c r="J56" s="575">
        <v>0</v>
      </c>
      <c r="K56" s="575">
        <v>0</v>
      </c>
      <c r="L56" s="574">
        <v>0.87</v>
      </c>
      <c r="M56" s="574"/>
      <c r="N56" s="574"/>
      <c r="O56" s="574"/>
      <c r="P56" s="574"/>
      <c r="Q56" s="574"/>
      <c r="R56" s="574"/>
      <c r="S56" s="574"/>
      <c r="T56" s="574"/>
      <c r="U56" s="574"/>
      <c r="V56" s="574"/>
      <c r="W56" s="574"/>
      <c r="X56" s="574"/>
      <c r="Y56" s="575">
        <f t="shared" si="6"/>
        <v>8047</v>
      </c>
      <c r="Z56" s="575">
        <f t="shared" si="2"/>
        <v>53853</v>
      </c>
      <c r="AA56" s="575">
        <f t="shared" si="3"/>
        <v>0</v>
      </c>
      <c r="AB56" s="575">
        <f t="shared" si="4"/>
        <v>0</v>
      </c>
      <c r="AC56" s="574">
        <f t="shared" si="8"/>
        <v>0</v>
      </c>
      <c r="AD56" s="735">
        <f t="shared" si="0"/>
        <v>0</v>
      </c>
      <c r="AE56" s="574">
        <f>(SUMIF(COSTING!$B$10:$B$826,B56,COSTING!$L$10:$L$826))/1000</f>
        <v>0.16500000000000001</v>
      </c>
      <c r="AF56" s="1015"/>
    </row>
    <row r="57" spans="2:36">
      <c r="B57" s="572" t="s">
        <v>1769</v>
      </c>
      <c r="C57" s="572" t="s">
        <v>1559</v>
      </c>
      <c r="D57" s="572"/>
      <c r="E57" s="572"/>
      <c r="F57" s="572" t="str">
        <f>VLOOKUP(B57,MasterSheet!$B$6:$N$187,5,)</f>
        <v>1kg</v>
      </c>
      <c r="G57" s="720" t="s">
        <v>1851</v>
      </c>
      <c r="H57" s="573">
        <f>VLOOKUP(B57,MasterSheet!$B$6:$N$187,7,)</f>
        <v>42735</v>
      </c>
      <c r="I57" s="694">
        <v>0</v>
      </c>
      <c r="J57" s="575">
        <v>0</v>
      </c>
      <c r="K57" s="575">
        <v>0</v>
      </c>
      <c r="L57" s="574">
        <v>0</v>
      </c>
      <c r="M57" s="574"/>
      <c r="N57" s="574"/>
      <c r="O57" s="574"/>
      <c r="P57" s="574"/>
      <c r="Q57" s="574"/>
      <c r="R57" s="574"/>
      <c r="S57" s="574"/>
      <c r="T57" s="574"/>
      <c r="U57" s="574"/>
      <c r="V57" s="574"/>
      <c r="W57" s="574"/>
      <c r="X57" s="574"/>
      <c r="Y57" s="575">
        <f t="shared" si="6"/>
        <v>0</v>
      </c>
      <c r="Z57" s="575">
        <f t="shared" si="2"/>
        <v>0</v>
      </c>
      <c r="AA57" s="575">
        <f t="shared" si="3"/>
        <v>0</v>
      </c>
      <c r="AB57" s="575">
        <f t="shared" si="4"/>
        <v>0</v>
      </c>
      <c r="AC57" s="574">
        <f t="shared" si="8"/>
        <v>0</v>
      </c>
      <c r="AD57" s="735">
        <f t="shared" si="0"/>
        <v>0</v>
      </c>
      <c r="AE57" s="574">
        <f>(SUMIF(COSTING!$B$10:$B$826,B57,COSTING!$L$10:$L$826))/1000</f>
        <v>0</v>
      </c>
      <c r="AF57" s="1015"/>
    </row>
    <row r="58" spans="2:36">
      <c r="B58" s="572" t="s">
        <v>949</v>
      </c>
      <c r="C58" s="572" t="s">
        <v>1560</v>
      </c>
      <c r="D58" s="572"/>
      <c r="E58" s="572"/>
      <c r="F58" s="572" t="str">
        <f>VLOOKUP(B58,MasterSheet!$B$6:$N$187,5,)</f>
        <v>1kg</v>
      </c>
      <c r="G58" s="720" t="s">
        <v>1851</v>
      </c>
      <c r="H58" s="573">
        <f>VLOOKUP(B58,MasterSheet!$B$6:$N$187,7,)</f>
        <v>60416.67</v>
      </c>
      <c r="I58" s="694">
        <v>5.28</v>
      </c>
      <c r="J58" s="575">
        <v>15.36</v>
      </c>
      <c r="K58" s="575">
        <v>0</v>
      </c>
      <c r="L58" s="574">
        <v>17.39</v>
      </c>
      <c r="M58" s="574"/>
      <c r="N58" s="574"/>
      <c r="O58" s="574"/>
      <c r="P58" s="574"/>
      <c r="Q58" s="574"/>
      <c r="R58" s="574"/>
      <c r="S58" s="574"/>
      <c r="T58" s="574"/>
      <c r="U58" s="574"/>
      <c r="V58" s="574"/>
      <c r="W58" s="574"/>
      <c r="X58" s="574"/>
      <c r="Y58" s="575">
        <f t="shared" si="6"/>
        <v>196354.17749999999</v>
      </c>
      <c r="Z58" s="575">
        <f t="shared" si="2"/>
        <v>1050645.8913</v>
      </c>
      <c r="AA58" s="575">
        <f t="shared" si="3"/>
        <v>0</v>
      </c>
      <c r="AB58" s="575">
        <f t="shared" si="4"/>
        <v>0</v>
      </c>
      <c r="AC58" s="574">
        <f t="shared" si="8"/>
        <v>0</v>
      </c>
      <c r="AD58" s="735">
        <f t="shared" si="0"/>
        <v>0</v>
      </c>
      <c r="AE58" s="574">
        <f>(SUMIF(COSTING!$B$10:$B$826,B58,COSTING!$L$10:$L$826))/1000</f>
        <v>0</v>
      </c>
      <c r="AF58" s="1015"/>
    </row>
    <row r="59" spans="2:36">
      <c r="B59" s="572" t="s">
        <v>1666</v>
      </c>
      <c r="C59" s="572" t="s">
        <v>1667</v>
      </c>
      <c r="D59" s="572"/>
      <c r="E59" s="572"/>
      <c r="F59" s="572" t="str">
        <f>VLOOKUP(B59,MasterSheet!$B$6:$N$187,5,)</f>
        <v>1kg</v>
      </c>
      <c r="G59" s="720" t="s">
        <v>1851</v>
      </c>
      <c r="H59" s="573">
        <f>VLOOKUP(B59,MasterSheet!$B$6:$N$187,7,)</f>
        <v>260000</v>
      </c>
      <c r="I59" s="694">
        <v>0</v>
      </c>
      <c r="J59" s="575">
        <v>0</v>
      </c>
      <c r="K59" s="575">
        <v>0</v>
      </c>
      <c r="L59" s="574">
        <v>0</v>
      </c>
      <c r="M59" s="574"/>
      <c r="N59" s="574"/>
      <c r="O59" s="574"/>
      <c r="P59" s="574"/>
      <c r="Q59" s="574"/>
      <c r="R59" s="574"/>
      <c r="S59" s="574"/>
      <c r="T59" s="574"/>
      <c r="U59" s="574"/>
      <c r="V59" s="574"/>
      <c r="W59" s="574"/>
      <c r="X59" s="574"/>
      <c r="Y59" s="575">
        <f t="shared" si="6"/>
        <v>0</v>
      </c>
      <c r="Z59" s="575">
        <f t="shared" si="2"/>
        <v>0</v>
      </c>
      <c r="AA59" s="575">
        <f t="shared" si="3"/>
        <v>0</v>
      </c>
      <c r="AB59" s="575">
        <f t="shared" si="4"/>
        <v>0</v>
      </c>
      <c r="AC59" s="574">
        <f t="shared" si="8"/>
        <v>0</v>
      </c>
      <c r="AD59" s="735">
        <f t="shared" si="0"/>
        <v>0</v>
      </c>
      <c r="AE59" s="574">
        <f>(SUMIF(COSTING!$B$10:$B$826,B59,COSTING!$L$10:$L$826))/1000</f>
        <v>0</v>
      </c>
      <c r="AF59" s="1015"/>
    </row>
    <row r="60" spans="2:36">
      <c r="B60" s="572" t="s">
        <v>970</v>
      </c>
      <c r="C60" s="572" t="s">
        <v>1561</v>
      </c>
      <c r="D60" s="572"/>
      <c r="E60" s="572"/>
      <c r="F60" s="572" t="str">
        <f>VLOOKUP(B60,MasterSheet!$B$6:$N$187,5,)</f>
        <v>1kg</v>
      </c>
      <c r="G60" s="720" t="s">
        <v>1856</v>
      </c>
      <c r="H60" s="573">
        <f>VLOOKUP(B60,MasterSheet!$B$6:$N$187,7,)</f>
        <v>38571.4</v>
      </c>
      <c r="I60" s="694">
        <v>20.82</v>
      </c>
      <c r="J60" s="575">
        <v>0</v>
      </c>
      <c r="K60" s="575">
        <v>0</v>
      </c>
      <c r="L60" s="574">
        <v>18.600000000000001</v>
      </c>
      <c r="M60" s="574"/>
      <c r="N60" s="574"/>
      <c r="O60" s="574"/>
      <c r="P60" s="574"/>
      <c r="Q60" s="574"/>
      <c r="R60" s="574"/>
      <c r="S60" s="574"/>
      <c r="T60" s="574"/>
      <c r="U60" s="574"/>
      <c r="V60" s="574"/>
      <c r="W60" s="574"/>
      <c r="X60" s="574"/>
      <c r="Y60" s="575">
        <f t="shared" si="6"/>
        <v>85628.507999999958</v>
      </c>
      <c r="Z60" s="575">
        <f t="shared" si="2"/>
        <v>717428.04</v>
      </c>
      <c r="AA60" s="575">
        <f t="shared" si="3"/>
        <v>0</v>
      </c>
      <c r="AB60" s="575">
        <f t="shared" si="4"/>
        <v>0</v>
      </c>
      <c r="AC60" s="574">
        <f t="shared" si="8"/>
        <v>0</v>
      </c>
      <c r="AD60" s="735">
        <f t="shared" si="0"/>
        <v>0</v>
      </c>
      <c r="AE60" s="574">
        <f>(SUMIF(COSTING!$B$10:$B$826,B60,COSTING!$L$10:$L$826))/1000</f>
        <v>0</v>
      </c>
      <c r="AF60" s="1015"/>
    </row>
    <row r="61" spans="2:36">
      <c r="B61" s="572" t="s">
        <v>641</v>
      </c>
      <c r="C61" s="572" t="s">
        <v>1562</v>
      </c>
      <c r="D61" s="572"/>
      <c r="E61" s="572"/>
      <c r="F61" s="572" t="str">
        <f>VLOOKUP(B61,MasterSheet!$B$6:$N$187,5,)</f>
        <v>1kg</v>
      </c>
      <c r="G61" s="720" t="s">
        <v>1856</v>
      </c>
      <c r="H61" s="573">
        <f>VLOOKUP(B61,MasterSheet!$B$6:$N$187,7,)</f>
        <v>45000</v>
      </c>
      <c r="I61" s="694">
        <v>0</v>
      </c>
      <c r="J61" s="575">
        <v>0</v>
      </c>
      <c r="K61" s="575">
        <v>0</v>
      </c>
      <c r="L61" s="574">
        <v>0</v>
      </c>
      <c r="M61" s="574"/>
      <c r="N61" s="574"/>
      <c r="O61" s="574"/>
      <c r="P61" s="574"/>
      <c r="Q61" s="574"/>
      <c r="R61" s="574"/>
      <c r="S61" s="574"/>
      <c r="T61" s="574"/>
      <c r="U61" s="574"/>
      <c r="V61" s="574"/>
      <c r="W61" s="574"/>
      <c r="X61" s="574"/>
      <c r="Y61" s="575">
        <f t="shared" si="6"/>
        <v>0</v>
      </c>
      <c r="Z61" s="575">
        <f t="shared" si="2"/>
        <v>0</v>
      </c>
      <c r="AA61" s="575">
        <f t="shared" si="3"/>
        <v>0</v>
      </c>
      <c r="AB61" s="575">
        <f t="shared" si="4"/>
        <v>0</v>
      </c>
      <c r="AC61" s="574">
        <f t="shared" si="8"/>
        <v>0</v>
      </c>
      <c r="AD61" s="735">
        <f t="shared" si="0"/>
        <v>0</v>
      </c>
      <c r="AE61" s="574">
        <f>(SUMIF(COSTING!$B$10:$B$826,B61,COSTING!$L$10:$L$826))/1000</f>
        <v>0</v>
      </c>
      <c r="AF61" s="1015"/>
    </row>
    <row r="62" spans="2:36">
      <c r="B62" s="572" t="s">
        <v>745</v>
      </c>
      <c r="C62" s="572" t="s">
        <v>1563</v>
      </c>
      <c r="D62" s="572"/>
      <c r="E62" s="572"/>
      <c r="F62" s="572" t="str">
        <f>VLOOKUP(B62,MasterSheet!$B$6:$N$187,5,)</f>
        <v>1kg</v>
      </c>
      <c r="G62" s="720" t="s">
        <v>1851</v>
      </c>
      <c r="H62" s="573">
        <f>VLOOKUP(B62,MasterSheet!$B$6:$N$187,7,)</f>
        <v>52400</v>
      </c>
      <c r="I62" s="694">
        <v>1.99</v>
      </c>
      <c r="J62" s="575">
        <v>0</v>
      </c>
      <c r="K62" s="575">
        <v>0</v>
      </c>
      <c r="L62" s="574">
        <v>1.7</v>
      </c>
      <c r="M62" s="574"/>
      <c r="N62" s="574"/>
      <c r="O62" s="574"/>
      <c r="P62" s="574"/>
      <c r="Q62" s="574"/>
      <c r="R62" s="574"/>
      <c r="S62" s="574"/>
      <c r="T62" s="574"/>
      <c r="U62" s="574"/>
      <c r="V62" s="574"/>
      <c r="W62" s="574"/>
      <c r="X62" s="574"/>
      <c r="Y62" s="575">
        <f t="shared" si="6"/>
        <v>15196.000000000002</v>
      </c>
      <c r="Z62" s="575">
        <f t="shared" si="2"/>
        <v>89080</v>
      </c>
      <c r="AA62" s="575">
        <f t="shared" si="3"/>
        <v>0</v>
      </c>
      <c r="AB62" s="575">
        <f t="shared" si="4"/>
        <v>0</v>
      </c>
      <c r="AC62" s="574">
        <f t="shared" si="8"/>
        <v>0</v>
      </c>
      <c r="AD62" s="735">
        <f t="shared" si="0"/>
        <v>0</v>
      </c>
      <c r="AE62" s="574">
        <f>(SUMIF(COSTING!$B$10:$B$826,B62,COSTING!$L$10:$L$826))/1000</f>
        <v>0</v>
      </c>
      <c r="AF62" s="1015"/>
    </row>
    <row r="63" spans="2:36">
      <c r="B63" s="572" t="s">
        <v>1232</v>
      </c>
      <c r="C63" s="572" t="s">
        <v>1564</v>
      </c>
      <c r="D63" s="572"/>
      <c r="E63" s="572"/>
      <c r="F63" s="572" t="str">
        <f>VLOOKUP(B63,MasterSheet!$B$6:$N$187,5,)</f>
        <v>1kg</v>
      </c>
      <c r="G63" s="720" t="s">
        <v>1851</v>
      </c>
      <c r="H63" s="573">
        <f>VLOOKUP(B63,MasterSheet!$B$6:$N$187,7,)</f>
        <v>154700</v>
      </c>
      <c r="I63" s="694">
        <v>0.5</v>
      </c>
      <c r="J63" s="575">
        <v>0</v>
      </c>
      <c r="K63" s="575">
        <v>0</v>
      </c>
      <c r="L63" s="574">
        <v>0.5</v>
      </c>
      <c r="M63" s="574"/>
      <c r="N63" s="574"/>
      <c r="O63" s="574"/>
      <c r="P63" s="574"/>
      <c r="Q63" s="574"/>
      <c r="R63" s="574"/>
      <c r="S63" s="574"/>
      <c r="T63" s="574"/>
      <c r="U63" s="574"/>
      <c r="V63" s="574"/>
      <c r="W63" s="574"/>
      <c r="X63" s="574"/>
      <c r="Y63" s="575">
        <f t="shared" si="6"/>
        <v>0</v>
      </c>
      <c r="Z63" s="575">
        <f t="shared" si="2"/>
        <v>77350</v>
      </c>
      <c r="AA63" s="575">
        <f t="shared" si="3"/>
        <v>0</v>
      </c>
      <c r="AB63" s="575">
        <f t="shared" si="4"/>
        <v>0</v>
      </c>
      <c r="AC63" s="574">
        <f t="shared" si="8"/>
        <v>0</v>
      </c>
      <c r="AD63" s="735">
        <f t="shared" si="0"/>
        <v>0</v>
      </c>
      <c r="AE63" s="574">
        <f>(SUMIF(COSTING!$B$10:$B$826,B63,COSTING!$L$10:$L$826))/1000</f>
        <v>0</v>
      </c>
      <c r="AF63" s="1015"/>
    </row>
    <row r="64" spans="2:36">
      <c r="B64" s="572" t="s">
        <v>682</v>
      </c>
      <c r="C64" s="572" t="s">
        <v>1565</v>
      </c>
      <c r="D64" s="572"/>
      <c r="E64" s="572"/>
      <c r="F64" s="572" t="str">
        <f>VLOOKUP(B64,MasterSheet!$B$6:$N$187,5,)</f>
        <v>1kg</v>
      </c>
      <c r="G64" s="720" t="s">
        <v>1856</v>
      </c>
      <c r="H64" s="573">
        <f>VLOOKUP(B64,MasterSheet!$B$6:$N$187,7,)</f>
        <v>53465</v>
      </c>
      <c r="I64" s="694">
        <v>15.9</v>
      </c>
      <c r="J64" s="575">
        <v>0</v>
      </c>
      <c r="K64" s="575">
        <v>9</v>
      </c>
      <c r="L64" s="574">
        <v>2.1</v>
      </c>
      <c r="M64" s="574"/>
      <c r="N64" s="574"/>
      <c r="O64" s="574"/>
      <c r="P64" s="574"/>
      <c r="Q64" s="574"/>
      <c r="R64" s="574"/>
      <c r="S64" s="574"/>
      <c r="T64" s="574"/>
      <c r="U64" s="574"/>
      <c r="V64" s="574"/>
      <c r="W64" s="574"/>
      <c r="X64" s="574"/>
      <c r="Y64" s="575">
        <f t="shared" si="6"/>
        <v>1219001.9999999998</v>
      </c>
      <c r="Z64" s="575">
        <f t="shared" si="2"/>
        <v>112276.5</v>
      </c>
      <c r="AA64" s="575">
        <f t="shared" si="3"/>
        <v>0</v>
      </c>
      <c r="AB64" s="575">
        <f t="shared" si="4"/>
        <v>0</v>
      </c>
      <c r="AC64" s="574">
        <f t="shared" si="8"/>
        <v>0</v>
      </c>
      <c r="AD64" s="735">
        <f t="shared" si="0"/>
        <v>0</v>
      </c>
      <c r="AE64" s="574">
        <f>(SUMIF(COSTING!$B$10:$B$826,B64,COSTING!$L$10:$L$826))/1000</f>
        <v>0</v>
      </c>
      <c r="AF64" s="1010"/>
    </row>
    <row r="65" spans="2:36">
      <c r="B65" s="572" t="s">
        <v>369</v>
      </c>
      <c r="C65" s="572" t="s">
        <v>1566</v>
      </c>
      <c r="D65" s="572"/>
      <c r="E65" s="572"/>
      <c r="F65" s="572" t="str">
        <f>VLOOKUP(B65,MasterSheet!$B$6:$N$187,5,)</f>
        <v>1kg</v>
      </c>
      <c r="G65" s="720" t="s">
        <v>1856</v>
      </c>
      <c r="H65" s="573">
        <f>VLOOKUP(B65,MasterSheet!$B$6:$N$187,7,)</f>
        <v>16500</v>
      </c>
      <c r="I65" s="694">
        <v>0.8</v>
      </c>
      <c r="J65" s="575">
        <v>0</v>
      </c>
      <c r="K65" s="575">
        <v>0</v>
      </c>
      <c r="L65" s="574">
        <v>0.8</v>
      </c>
      <c r="M65" s="574"/>
      <c r="N65" s="574"/>
      <c r="O65" s="574"/>
      <c r="P65" s="574"/>
      <c r="Q65" s="574"/>
      <c r="R65" s="574"/>
      <c r="S65" s="574"/>
      <c r="T65" s="574"/>
      <c r="U65" s="574"/>
      <c r="V65" s="574"/>
      <c r="W65" s="574"/>
      <c r="X65" s="574"/>
      <c r="Y65" s="575">
        <f t="shared" si="6"/>
        <v>0</v>
      </c>
      <c r="Z65" s="575">
        <f t="shared" si="2"/>
        <v>13200</v>
      </c>
      <c r="AA65" s="575">
        <f t="shared" si="3"/>
        <v>0</v>
      </c>
      <c r="AB65" s="575">
        <f t="shared" si="4"/>
        <v>0</v>
      </c>
      <c r="AC65" s="574">
        <f t="shared" si="8"/>
        <v>0</v>
      </c>
      <c r="AD65" s="735">
        <f t="shared" si="0"/>
        <v>0</v>
      </c>
      <c r="AE65" s="574">
        <f>(SUMIF(COSTING!$B$10:$B$826,B65,COSTING!$L$10:$L$826))/1000</f>
        <v>0</v>
      </c>
      <c r="AF65" s="1015"/>
      <c r="AG65" s="1016"/>
    </row>
    <row r="66" spans="2:36">
      <c r="B66" s="572" t="s">
        <v>706</v>
      </c>
      <c r="C66" s="572" t="s">
        <v>1567</v>
      </c>
      <c r="D66" s="572"/>
      <c r="E66" s="572"/>
      <c r="F66" s="572" t="str">
        <f>VLOOKUP(B66,MasterSheet!$B$6:$N$187,5,)</f>
        <v>1kg</v>
      </c>
      <c r="G66" s="720" t="s">
        <v>1856</v>
      </c>
      <c r="H66" s="573">
        <f>VLOOKUP(B66,MasterSheet!$B$6:$N$187,7,)</f>
        <v>76590</v>
      </c>
      <c r="I66" s="694">
        <v>1.45</v>
      </c>
      <c r="J66" s="575">
        <v>0</v>
      </c>
      <c r="K66" s="575">
        <v>0</v>
      </c>
      <c r="L66" s="575">
        <v>1.3</v>
      </c>
      <c r="M66" s="574"/>
      <c r="N66" s="574"/>
      <c r="O66" s="574"/>
      <c r="P66" s="574"/>
      <c r="Q66" s="574"/>
      <c r="R66" s="574"/>
      <c r="S66" s="574"/>
      <c r="T66" s="574"/>
      <c r="U66" s="575"/>
      <c r="V66" s="575"/>
      <c r="W66" s="575"/>
      <c r="X66" s="574"/>
      <c r="Y66" s="575">
        <f t="shared" si="6"/>
        <v>11488.499999999993</v>
      </c>
      <c r="Z66" s="575">
        <f t="shared" si="2"/>
        <v>99567</v>
      </c>
      <c r="AA66" s="575">
        <f t="shared" si="3"/>
        <v>0</v>
      </c>
      <c r="AB66" s="830">
        <f t="shared" si="4"/>
        <v>0</v>
      </c>
      <c r="AC66" s="574">
        <f t="shared" si="8"/>
        <v>0</v>
      </c>
      <c r="AD66" s="735">
        <f t="shared" si="0"/>
        <v>0</v>
      </c>
      <c r="AE66" s="574">
        <f>(SUMIF(COSTING!$B$10:$B$826,B66,COSTING!$L$10:$L$826))/1000</f>
        <v>4.0000000000000001E-3</v>
      </c>
      <c r="AF66" s="1015"/>
    </row>
    <row r="67" spans="2:36">
      <c r="B67" s="572" t="s">
        <v>674</v>
      </c>
      <c r="C67" s="572" t="s">
        <v>1568</v>
      </c>
      <c r="D67" s="572"/>
      <c r="E67" s="572"/>
      <c r="F67" s="572" t="str">
        <f>VLOOKUP(B67,MasterSheet!$B$6:$N$187,5,)</f>
        <v>1kg</v>
      </c>
      <c r="G67" s="720" t="s">
        <v>1856</v>
      </c>
      <c r="H67" s="573">
        <f>VLOOKUP(B67,MasterSheet!$B$6:$N$187,7,)</f>
        <v>32000</v>
      </c>
      <c r="I67" s="694">
        <v>6.1</v>
      </c>
      <c r="J67" s="575">
        <v>0</v>
      </c>
      <c r="K67" s="575">
        <v>0</v>
      </c>
      <c r="L67" s="575">
        <v>4</v>
      </c>
      <c r="M67" s="574"/>
      <c r="N67" s="574"/>
      <c r="O67" s="574"/>
      <c r="P67" s="574"/>
      <c r="Q67" s="574"/>
      <c r="R67" s="574"/>
      <c r="S67" s="574"/>
      <c r="T67" s="574"/>
      <c r="U67" s="575"/>
      <c r="V67" s="575"/>
      <c r="W67" s="575"/>
      <c r="X67" s="574"/>
      <c r="Y67" s="575">
        <f t="shared" si="6"/>
        <v>67199.999999999985</v>
      </c>
      <c r="Z67" s="575">
        <f t="shared" si="2"/>
        <v>128000</v>
      </c>
      <c r="AA67" s="575">
        <f t="shared" si="3"/>
        <v>0</v>
      </c>
      <c r="AB67" s="575">
        <f t="shared" si="4"/>
        <v>0</v>
      </c>
      <c r="AC67" s="574">
        <f t="shared" si="8"/>
        <v>0</v>
      </c>
      <c r="AD67" s="735">
        <f t="shared" si="0"/>
        <v>0</v>
      </c>
      <c r="AE67" s="574">
        <f>(SUMIF(COSTING!$B$10:$B$826,B67,COSTING!$L$10:$L$826))/1000</f>
        <v>0</v>
      </c>
      <c r="AF67" s="1015"/>
      <c r="AG67" s="1016"/>
    </row>
    <row r="68" spans="2:36">
      <c r="B68" s="572" t="s">
        <v>743</v>
      </c>
      <c r="C68" s="572" t="s">
        <v>1569</v>
      </c>
      <c r="D68" s="572"/>
      <c r="E68" s="572"/>
      <c r="F68" s="572" t="str">
        <f>VLOOKUP(B68,MasterSheet!$B$6:$N$187,5,)</f>
        <v>1kg</v>
      </c>
      <c r="G68" s="720" t="s">
        <v>1856</v>
      </c>
      <c r="H68" s="573">
        <f>VLOOKUP(B68,MasterSheet!$B$6:$N$187,7,)</f>
        <v>21000</v>
      </c>
      <c r="I68" s="694">
        <v>6.3</v>
      </c>
      <c r="J68" s="575">
        <v>10</v>
      </c>
      <c r="K68" s="575">
        <v>0</v>
      </c>
      <c r="L68" s="574">
        <v>9</v>
      </c>
      <c r="M68" s="574"/>
      <c r="N68" s="574"/>
      <c r="O68" s="574"/>
      <c r="P68" s="574"/>
      <c r="Q68" s="574"/>
      <c r="R68" s="574"/>
      <c r="S68" s="574"/>
      <c r="T68" s="574"/>
      <c r="U68" s="574"/>
      <c r="V68" s="574"/>
      <c r="W68" s="574"/>
      <c r="X68" s="574"/>
      <c r="Y68" s="575">
        <f t="shared" si="6"/>
        <v>153300.00000000003</v>
      </c>
      <c r="Z68" s="575">
        <f t="shared" si="2"/>
        <v>189000</v>
      </c>
      <c r="AA68" s="575">
        <f t="shared" si="3"/>
        <v>0</v>
      </c>
      <c r="AB68" s="575">
        <f t="shared" si="4"/>
        <v>0</v>
      </c>
      <c r="AC68" s="574">
        <f t="shared" si="8"/>
        <v>0</v>
      </c>
      <c r="AD68" s="735">
        <f t="shared" si="0"/>
        <v>0</v>
      </c>
      <c r="AE68" s="574">
        <f>(SUMIF(COSTING!$B$10:$B$826,B68,COSTING!$L$10:$L$826))/1000</f>
        <v>0</v>
      </c>
      <c r="AF68" s="1015"/>
    </row>
    <row r="69" spans="2:36">
      <c r="B69" s="572" t="s">
        <v>1753</v>
      </c>
      <c r="C69" s="572" t="s">
        <v>1752</v>
      </c>
      <c r="D69" s="572"/>
      <c r="E69" s="572"/>
      <c r="F69" s="572" t="str">
        <f>VLOOKUP(B69,MasterSheet!$B$6:$N$187,5,)</f>
        <v>1kg</v>
      </c>
      <c r="G69" s="720" t="s">
        <v>1856</v>
      </c>
      <c r="H69" s="573">
        <f>VLOOKUP(B69,MasterSheet!$B$6:$N$187,7,)</f>
        <v>100000</v>
      </c>
      <c r="I69" s="694">
        <v>3.7</v>
      </c>
      <c r="J69" s="575">
        <v>0</v>
      </c>
      <c r="K69" s="575">
        <v>0</v>
      </c>
      <c r="L69" s="574">
        <v>2.8</v>
      </c>
      <c r="M69" s="574"/>
      <c r="N69" s="574"/>
      <c r="O69" s="574"/>
      <c r="P69" s="574"/>
      <c r="Q69" s="574"/>
      <c r="R69" s="574"/>
      <c r="S69" s="574"/>
      <c r="T69" s="574"/>
      <c r="U69" s="574"/>
      <c r="V69" s="574"/>
      <c r="W69" s="574"/>
      <c r="X69" s="574"/>
      <c r="Y69" s="574">
        <f t="shared" si="6"/>
        <v>90000.000000000029</v>
      </c>
      <c r="Z69" s="574">
        <f t="shared" si="2"/>
        <v>280000</v>
      </c>
      <c r="AA69" s="574">
        <f t="shared" si="3"/>
        <v>0</v>
      </c>
      <c r="AB69" s="574">
        <f t="shared" si="4"/>
        <v>0</v>
      </c>
      <c r="AC69" s="574">
        <f t="shared" si="8"/>
        <v>0</v>
      </c>
      <c r="AD69" s="735">
        <f t="shared" si="0"/>
        <v>0</v>
      </c>
      <c r="AE69" s="574">
        <f>(SUMIF(COSTING!$B$10:$B$826,B69,COSTING!$L$10:$L$826))/1000</f>
        <v>0</v>
      </c>
      <c r="AF69" s="1015"/>
    </row>
    <row r="70" spans="2:36">
      <c r="B70" s="834" t="s">
        <v>2112</v>
      </c>
      <c r="C70" s="692" t="s">
        <v>2110</v>
      </c>
      <c r="D70" s="835"/>
      <c r="E70" s="835"/>
      <c r="F70" s="572" t="s">
        <v>2111</v>
      </c>
      <c r="G70" s="720" t="s">
        <v>1851</v>
      </c>
      <c r="H70" s="573">
        <f>VLOOKUP(B70,MasterSheet!$B$6:$N$187,7,)</f>
        <v>34800</v>
      </c>
      <c r="I70" s="694">
        <v>6.2</v>
      </c>
      <c r="J70" s="575">
        <v>0</v>
      </c>
      <c r="K70" s="575">
        <v>0</v>
      </c>
      <c r="L70" s="574">
        <v>3</v>
      </c>
      <c r="M70" s="574"/>
      <c r="N70" s="574"/>
      <c r="O70" s="574"/>
      <c r="P70" s="574"/>
      <c r="Q70" s="574"/>
      <c r="R70" s="574"/>
      <c r="S70" s="574"/>
      <c r="T70" s="574"/>
      <c r="U70" s="574"/>
      <c r="V70" s="574"/>
      <c r="W70" s="574"/>
      <c r="X70" s="574"/>
      <c r="Y70" s="574">
        <f t="shared" si="6"/>
        <v>111360</v>
      </c>
      <c r="Z70" s="574">
        <f t="shared" si="2"/>
        <v>104400</v>
      </c>
      <c r="AA70" s="574"/>
      <c r="AB70" s="574"/>
      <c r="AC70" s="574"/>
      <c r="AD70" s="735"/>
      <c r="AE70" s="574"/>
      <c r="AF70" s="1015"/>
    </row>
    <row r="71" spans="2:36">
      <c r="B71" s="851" t="s">
        <v>1570</v>
      </c>
      <c r="C71" s="852"/>
      <c r="D71" s="852"/>
      <c r="E71" s="852"/>
      <c r="F71" s="852"/>
      <c r="G71" s="852"/>
      <c r="H71" s="852"/>
      <c r="I71" s="852"/>
      <c r="J71" s="852"/>
      <c r="K71" s="852"/>
      <c r="L71" s="852"/>
      <c r="M71" s="852"/>
      <c r="N71" s="852"/>
      <c r="O71" s="852"/>
      <c r="P71" s="852"/>
      <c r="Q71" s="852"/>
      <c r="R71" s="852"/>
      <c r="S71" s="852"/>
      <c r="T71" s="852"/>
      <c r="U71" s="852"/>
      <c r="V71" s="852"/>
      <c r="W71" s="852"/>
      <c r="X71" s="853"/>
      <c r="Y71" s="583">
        <f>SUM(Y72:Y77)</f>
        <v>2268901.5293999999</v>
      </c>
      <c r="Z71" s="583">
        <f>SUM(Z72:Z77)</f>
        <v>4573445.3026000001</v>
      </c>
      <c r="AA71" s="583">
        <f>SUM(AA72:AA77)</f>
        <v>0</v>
      </c>
      <c r="AB71" s="583">
        <f>SUM(AB72:AB77)</f>
        <v>0</v>
      </c>
      <c r="AC71" s="583">
        <f>SUM(AC72:AC77)</f>
        <v>0</v>
      </c>
      <c r="AD71" s="735">
        <f t="shared" si="0"/>
        <v>0</v>
      </c>
      <c r="AE71" s="583"/>
      <c r="AF71" s="1010">
        <f>Y71/$Y$2</f>
        <v>2.7167270656416762E-2</v>
      </c>
      <c r="AG71" s="1011" t="e">
        <f>Z71/$Z$2</f>
        <v>#DIV/0!</v>
      </c>
      <c r="AH71" s="1012" t="e">
        <f>AA71/$AA$2</f>
        <v>#DIV/0!</v>
      </c>
      <c r="AI71" s="1012" t="e">
        <f>AB71/$AB$2</f>
        <v>#DIV/0!</v>
      </c>
      <c r="AJ71" s="1012" t="e">
        <f>AC71/$AC$2</f>
        <v>#DIV/0!</v>
      </c>
    </row>
    <row r="72" spans="2:36">
      <c r="B72" s="572" t="s">
        <v>915</v>
      </c>
      <c r="C72" s="572" t="s">
        <v>1571</v>
      </c>
      <c r="D72" s="572"/>
      <c r="E72" s="578"/>
      <c r="F72" s="572" t="str">
        <f>VLOOKUP(B72,MasterSheet!$B$6:$N$187,5,)</f>
        <v>1pc</v>
      </c>
      <c r="G72" s="720" t="s">
        <v>1858</v>
      </c>
      <c r="H72" s="573">
        <f>VLOOKUP(B72,MasterSheet!$B$6:$N$187,7,)</f>
        <v>3885</v>
      </c>
      <c r="I72" s="694">
        <v>224</v>
      </c>
      <c r="J72" s="575">
        <v>0</v>
      </c>
      <c r="K72" s="575">
        <v>0</v>
      </c>
      <c r="L72" s="574">
        <v>141</v>
      </c>
      <c r="M72" s="574"/>
      <c r="N72" s="574"/>
      <c r="O72" s="574"/>
      <c r="P72" s="574"/>
      <c r="Q72" s="574"/>
      <c r="R72" s="574"/>
      <c r="S72" s="574"/>
      <c r="T72" s="574"/>
      <c r="U72" s="574"/>
      <c r="V72" s="574"/>
      <c r="W72" s="574"/>
      <c r="X72" s="574"/>
      <c r="Y72" s="574">
        <f t="shared" si="6"/>
        <v>322455</v>
      </c>
      <c r="Z72" s="574">
        <f t="shared" si="2"/>
        <v>547785</v>
      </c>
      <c r="AA72" s="575">
        <f t="shared" si="3"/>
        <v>0</v>
      </c>
      <c r="AB72" s="574">
        <f t="shared" si="4"/>
        <v>0</v>
      </c>
      <c r="AC72" s="575">
        <f t="shared" si="8"/>
        <v>0</v>
      </c>
      <c r="AD72" s="735">
        <f t="shared" si="0"/>
        <v>0</v>
      </c>
      <c r="AE72" s="574">
        <f>(SUMIF(COSTING!$B$10:$B$826,B72,COSTING!$L$10:$L$826))/1000</f>
        <v>0</v>
      </c>
      <c r="AF72" s="1015"/>
    </row>
    <row r="73" spans="2:36">
      <c r="B73" s="572" t="s">
        <v>1044</v>
      </c>
      <c r="C73" s="572" t="s">
        <v>1572</v>
      </c>
      <c r="D73" s="572"/>
      <c r="E73" s="578"/>
      <c r="F73" s="572" t="str">
        <f>VLOOKUP(B73,MasterSheet!$B$6:$N$187,5,)</f>
        <v>470g</v>
      </c>
      <c r="G73" s="720" t="s">
        <v>1851</v>
      </c>
      <c r="H73" s="573">
        <f>VLOOKUP(B73,MasterSheet!$B$6:$N$187,7,)</f>
        <v>34500</v>
      </c>
      <c r="I73" s="694">
        <v>38.19</v>
      </c>
      <c r="J73" s="575">
        <v>0</v>
      </c>
      <c r="K73" s="575">
        <v>0</v>
      </c>
      <c r="L73" s="574">
        <v>26.49</v>
      </c>
      <c r="M73" s="574"/>
      <c r="N73" s="574"/>
      <c r="O73" s="574"/>
      <c r="P73" s="574"/>
      <c r="Q73" s="574"/>
      <c r="R73" s="574"/>
      <c r="S73" s="574"/>
      <c r="T73" s="574"/>
      <c r="U73" s="574"/>
      <c r="V73" s="574"/>
      <c r="W73" s="574"/>
      <c r="X73" s="574"/>
      <c r="Y73" s="574">
        <f t="shared" si="6"/>
        <v>403650</v>
      </c>
      <c r="Z73" s="574">
        <f t="shared" si="2"/>
        <v>913905</v>
      </c>
      <c r="AA73" s="575">
        <f t="shared" si="3"/>
        <v>0</v>
      </c>
      <c r="AB73" s="574">
        <f t="shared" si="4"/>
        <v>0</v>
      </c>
      <c r="AC73" s="575">
        <f t="shared" si="8"/>
        <v>0</v>
      </c>
      <c r="AD73" s="735">
        <f t="shared" si="0"/>
        <v>0</v>
      </c>
      <c r="AE73" s="574">
        <f>(SUMIF(COSTING!$B$10:$B$826,B73,COSTING!$L$10:$L$826))/1000</f>
        <v>0</v>
      </c>
      <c r="AF73" s="1015"/>
    </row>
    <row r="74" spans="2:36">
      <c r="B74" s="572" t="s">
        <v>724</v>
      </c>
      <c r="C74" s="572" t="s">
        <v>1573</v>
      </c>
      <c r="D74" s="572"/>
      <c r="E74" s="578"/>
      <c r="F74" s="572" t="str">
        <f>VLOOKUP(B74,MasterSheet!$B$6:$N$187,5,)</f>
        <v>1kg</v>
      </c>
      <c r="G74" s="720" t="s">
        <v>1856</v>
      </c>
      <c r="H74" s="573">
        <f>VLOOKUP(B74,MasterSheet!$B$6:$N$187,7,)</f>
        <v>35000</v>
      </c>
      <c r="I74" s="694">
        <v>74</v>
      </c>
      <c r="J74" s="575">
        <v>0</v>
      </c>
      <c r="K74" s="575">
        <v>0</v>
      </c>
      <c r="L74" s="574">
        <v>42.89</v>
      </c>
      <c r="M74" s="574"/>
      <c r="N74" s="574"/>
      <c r="O74" s="574"/>
      <c r="P74" s="574"/>
      <c r="Q74" s="574"/>
      <c r="R74" s="574"/>
      <c r="S74" s="574"/>
      <c r="T74" s="574"/>
      <c r="U74" s="574"/>
      <c r="V74" s="574"/>
      <c r="W74" s="574"/>
      <c r="X74" s="574"/>
      <c r="Y74" s="574">
        <f t="shared" si="6"/>
        <v>1088850</v>
      </c>
      <c r="Z74" s="574">
        <f t="shared" si="2"/>
        <v>1501150</v>
      </c>
      <c r="AA74" s="575">
        <f t="shared" si="3"/>
        <v>0</v>
      </c>
      <c r="AB74" s="574">
        <f t="shared" si="4"/>
        <v>0</v>
      </c>
      <c r="AC74" s="575">
        <f t="shared" si="8"/>
        <v>0</v>
      </c>
      <c r="AD74" s="735">
        <f t="shared" si="0"/>
        <v>0</v>
      </c>
      <c r="AE74" s="574">
        <f>(SUMIF(COSTING!$B$10:$B$826,B74,COSTING!$L$10:$L$826))/1000</f>
        <v>0</v>
      </c>
      <c r="AF74" s="1015"/>
    </row>
    <row r="75" spans="2:36" ht="15.75">
      <c r="B75" s="572" t="s">
        <v>1147</v>
      </c>
      <c r="C75" s="572" t="s">
        <v>1574</v>
      </c>
      <c r="D75" s="572"/>
      <c r="E75" s="578"/>
      <c r="F75" s="572" t="str">
        <f>VLOOKUP(B75,MasterSheet!$B$6:$N$187,5,)</f>
        <v>1kg</v>
      </c>
      <c r="G75" s="720" t="s">
        <v>1851</v>
      </c>
      <c r="H75" s="573">
        <f>VLOOKUP(B75,MasterSheet!$B$6:$N$187,7,)</f>
        <v>82140</v>
      </c>
      <c r="I75" s="694">
        <v>0</v>
      </c>
      <c r="J75" s="575">
        <v>0</v>
      </c>
      <c r="K75" s="575">
        <v>0</v>
      </c>
      <c r="L75" s="574">
        <v>0</v>
      </c>
      <c r="M75" s="574"/>
      <c r="N75" s="574"/>
      <c r="O75" s="574"/>
      <c r="P75" s="574"/>
      <c r="Q75" s="574"/>
      <c r="R75" s="574"/>
      <c r="S75" s="574"/>
      <c r="T75" s="574"/>
      <c r="U75" s="574"/>
      <c r="V75" s="574"/>
      <c r="W75" s="574"/>
      <c r="X75" s="574"/>
      <c r="Y75" s="574">
        <f t="shared" si="6"/>
        <v>0</v>
      </c>
      <c r="Z75" s="574">
        <f t="shared" si="2"/>
        <v>0</v>
      </c>
      <c r="AA75" s="575">
        <f t="shared" si="3"/>
        <v>0</v>
      </c>
      <c r="AB75" s="574">
        <f t="shared" si="4"/>
        <v>0</v>
      </c>
      <c r="AC75" s="575">
        <f t="shared" si="8"/>
        <v>0</v>
      </c>
      <c r="AD75" s="735">
        <f t="shared" si="0"/>
        <v>0</v>
      </c>
      <c r="AE75" s="574">
        <f>(SUMIF(COSTING!$B$10:$B$826,B75,COSTING!$L$10:$L$826))/1000</f>
        <v>0</v>
      </c>
      <c r="AF75" s="1015"/>
      <c r="AG75" s="1014"/>
    </row>
    <row r="76" spans="2:36">
      <c r="B76" s="572" t="s">
        <v>1045</v>
      </c>
      <c r="C76" s="572" t="s">
        <v>1575</v>
      </c>
      <c r="D76" s="578"/>
      <c r="E76" s="578"/>
      <c r="F76" s="572" t="str">
        <f>VLOOKUP(B76,MasterSheet!$B$6:$N$187,5,)</f>
        <v>1kg</v>
      </c>
      <c r="G76" s="720" t="s">
        <v>1851</v>
      </c>
      <c r="H76" s="573">
        <f>VLOOKUP(B76,MasterSheet!$B$6:$N$187,7,)</f>
        <v>67381.16</v>
      </c>
      <c r="I76" s="694">
        <v>22.7</v>
      </c>
      <c r="J76" s="575">
        <v>0</v>
      </c>
      <c r="K76" s="575">
        <v>0</v>
      </c>
      <c r="L76" s="574">
        <v>16.36</v>
      </c>
      <c r="M76" s="574"/>
      <c r="N76" s="574"/>
      <c r="O76" s="574"/>
      <c r="P76" s="574"/>
      <c r="Q76" s="574"/>
      <c r="R76" s="574"/>
      <c r="S76" s="574"/>
      <c r="T76" s="574"/>
      <c r="U76" s="574"/>
      <c r="V76" s="574"/>
      <c r="W76" s="574"/>
      <c r="X76" s="574"/>
      <c r="Y76" s="574">
        <f t="shared" si="6"/>
        <v>427196.55440000002</v>
      </c>
      <c r="Z76" s="574">
        <f t="shared" si="2"/>
        <v>1102355.7775999999</v>
      </c>
      <c r="AA76" s="574">
        <f t="shared" si="3"/>
        <v>0</v>
      </c>
      <c r="AB76" s="574">
        <f t="shared" si="4"/>
        <v>0</v>
      </c>
      <c r="AC76" s="575">
        <f t="shared" si="8"/>
        <v>0</v>
      </c>
      <c r="AD76" s="735">
        <f t="shared" si="0"/>
        <v>0</v>
      </c>
      <c r="AE76" s="574">
        <f>(SUMIF(COSTING!$B$10:$B$826,B76,COSTING!$L$10:$L$826))/1000</f>
        <v>0</v>
      </c>
      <c r="AF76" s="1015"/>
      <c r="AG76" s="1016"/>
    </row>
    <row r="77" spans="2:36">
      <c r="B77" s="572" t="s">
        <v>1773</v>
      </c>
      <c r="C77" s="572" t="s">
        <v>1772</v>
      </c>
      <c r="D77" s="578"/>
      <c r="E77" s="578"/>
      <c r="F77" s="572" t="str">
        <f>VLOOKUP(B77,MasterSheet!$B$6:$N$187,5,)</f>
        <v>500g</v>
      </c>
      <c r="G77" s="720" t="s">
        <v>1851</v>
      </c>
      <c r="H77" s="573">
        <f>VLOOKUP(B77,MasterSheet!$B$6:$N$187,7,)</f>
        <v>53499.95</v>
      </c>
      <c r="I77" s="694">
        <v>10</v>
      </c>
      <c r="J77" s="575">
        <v>0</v>
      </c>
      <c r="K77" s="575">
        <v>0</v>
      </c>
      <c r="L77" s="574">
        <v>9.5</v>
      </c>
      <c r="M77" s="574"/>
      <c r="N77" s="574"/>
      <c r="O77" s="574"/>
      <c r="P77" s="574"/>
      <c r="Q77" s="574"/>
      <c r="R77" s="574"/>
      <c r="S77" s="574"/>
      <c r="T77" s="574"/>
      <c r="U77" s="574"/>
      <c r="V77" s="574"/>
      <c r="W77" s="574"/>
      <c r="X77" s="574"/>
      <c r="Y77" s="574">
        <f t="shared" si="6"/>
        <v>26749.974999999999</v>
      </c>
      <c r="Z77" s="574">
        <f t="shared" si="2"/>
        <v>508249.52499999997</v>
      </c>
      <c r="AA77" s="574">
        <f t="shared" si="3"/>
        <v>0</v>
      </c>
      <c r="AB77" s="574">
        <f t="shared" si="4"/>
        <v>0</v>
      </c>
      <c r="AC77" s="575">
        <f t="shared" si="8"/>
        <v>0</v>
      </c>
      <c r="AD77" s="735">
        <f t="shared" ref="AD77:AD140" si="9">SUM(R77+S77)-U77</f>
        <v>0</v>
      </c>
      <c r="AE77" s="574">
        <f>(SUMIF(COSTING!$B$10:$B$826,B77,COSTING!$L$10:$L$826))/1000</f>
        <v>0.24</v>
      </c>
      <c r="AF77" s="1015"/>
    </row>
    <row r="78" spans="2:36">
      <c r="B78" s="845" t="s">
        <v>1576</v>
      </c>
      <c r="C78" s="846"/>
      <c r="D78" s="846"/>
      <c r="E78" s="846"/>
      <c r="F78" s="846"/>
      <c r="G78" s="846"/>
      <c r="H78" s="846"/>
      <c r="I78" s="846"/>
      <c r="J78" s="846"/>
      <c r="K78" s="846"/>
      <c r="L78" s="846"/>
      <c r="M78" s="846"/>
      <c r="N78" s="846"/>
      <c r="O78" s="846"/>
      <c r="P78" s="846"/>
      <c r="Q78" s="846"/>
      <c r="R78" s="846"/>
      <c r="S78" s="846"/>
      <c r="T78" s="846"/>
      <c r="U78" s="846"/>
      <c r="V78" s="846"/>
      <c r="W78" s="846"/>
      <c r="X78" s="847"/>
      <c r="Y78" s="584">
        <f>SUM(Y79:Y110)</f>
        <v>2578976.0499999998</v>
      </c>
      <c r="Z78" s="584">
        <f>SUM(Z79:Z110)</f>
        <v>8472599</v>
      </c>
      <c r="AA78" s="584">
        <f>SUM(AA79:AA110)</f>
        <v>0</v>
      </c>
      <c r="AB78" s="584">
        <f>SUM(AB79:AB110)</f>
        <v>0</v>
      </c>
      <c r="AC78" s="584">
        <f>SUM(AC79:AC110)</f>
        <v>0</v>
      </c>
      <c r="AD78" s="735">
        <f t="shared" si="9"/>
        <v>0</v>
      </c>
      <c r="AE78" s="658" t="s">
        <v>1677</v>
      </c>
      <c r="AF78" s="1010">
        <f>Y78/$Y$2</f>
        <v>3.0880026946473356E-2</v>
      </c>
      <c r="AG78" s="1011" t="e">
        <f>Z78/$Z$2</f>
        <v>#DIV/0!</v>
      </c>
      <c r="AH78" s="1012" t="e">
        <f>AA78/$AA$2</f>
        <v>#DIV/0!</v>
      </c>
      <c r="AI78" s="1012" t="e">
        <f>AB78/$AB$2</f>
        <v>#DIV/0!</v>
      </c>
      <c r="AJ78" s="1012" t="e">
        <f>AC78/$AC$2</f>
        <v>#DIV/0!</v>
      </c>
    </row>
    <row r="79" spans="2:36">
      <c r="B79" s="572" t="s">
        <v>1774</v>
      </c>
      <c r="C79" s="572" t="s">
        <v>1577</v>
      </c>
      <c r="D79" s="578"/>
      <c r="E79" s="578"/>
      <c r="F79" s="572" t="str">
        <f>VLOOKUP(B79,MasterSheet!$B$6:$N$187,5,)</f>
        <v>1ea</v>
      </c>
      <c r="G79" s="720" t="s">
        <v>1858</v>
      </c>
      <c r="H79" s="573">
        <f>VLOOKUP(B79,MasterSheet!$B$6:$N$187,7,)</f>
        <v>190</v>
      </c>
      <c r="I79" s="694">
        <v>805</v>
      </c>
      <c r="J79" s="575">
        <v>0</v>
      </c>
      <c r="K79" s="575">
        <v>0</v>
      </c>
      <c r="L79" s="574">
        <v>617</v>
      </c>
      <c r="M79" s="574"/>
      <c r="N79" s="574"/>
      <c r="O79" s="574"/>
      <c r="P79" s="574"/>
      <c r="Q79" s="574"/>
      <c r="R79" s="574"/>
      <c r="S79" s="574"/>
      <c r="T79" s="574"/>
      <c r="U79" s="574"/>
      <c r="V79" s="574"/>
      <c r="W79" s="574"/>
      <c r="X79" s="574"/>
      <c r="Y79" s="574">
        <f t="shared" si="6"/>
        <v>35720</v>
      </c>
      <c r="Z79" s="574">
        <f t="shared" si="2"/>
        <v>117230</v>
      </c>
      <c r="AA79" s="830">
        <f t="shared" si="3"/>
        <v>0</v>
      </c>
      <c r="AB79" s="574">
        <f t="shared" si="4"/>
        <v>0</v>
      </c>
      <c r="AC79" s="574">
        <f t="shared" si="8"/>
        <v>0</v>
      </c>
      <c r="AD79" s="735">
        <f t="shared" si="9"/>
        <v>0</v>
      </c>
      <c r="AE79" s="574">
        <f>(SUMIF(COSTING!$B$10:$B$826,B79,COSTING!$L$10:$L$826))</f>
        <v>0</v>
      </c>
      <c r="AF79" s="1015"/>
    </row>
    <row r="80" spans="2:36">
      <c r="B80" s="572" t="s">
        <v>1775</v>
      </c>
      <c r="C80" s="572" t="s">
        <v>1578</v>
      </c>
      <c r="D80" s="578"/>
      <c r="E80" s="578"/>
      <c r="F80" s="572" t="str">
        <f>VLOOKUP(B80,MasterSheet!$B$6:$N$187,5,)</f>
        <v>1ea</v>
      </c>
      <c r="G80" s="720" t="s">
        <v>1858</v>
      </c>
      <c r="H80" s="573">
        <f>VLOOKUP(B80,MasterSheet!$B$6:$N$187,7,)</f>
        <v>190</v>
      </c>
      <c r="I80" s="694">
        <v>2912</v>
      </c>
      <c r="J80" s="575">
        <v>0</v>
      </c>
      <c r="K80" s="575">
        <v>0</v>
      </c>
      <c r="L80" s="574">
        <v>2510</v>
      </c>
      <c r="M80" s="574"/>
      <c r="N80" s="574"/>
      <c r="O80" s="574"/>
      <c r="P80" s="574"/>
      <c r="Q80" s="574"/>
      <c r="R80" s="574"/>
      <c r="S80" s="574"/>
      <c r="T80" s="574"/>
      <c r="U80" s="574"/>
      <c r="V80" s="574"/>
      <c r="W80" s="574"/>
      <c r="X80" s="574"/>
      <c r="Y80" s="574">
        <f t="shared" si="6"/>
        <v>76380</v>
      </c>
      <c r="Z80" s="574">
        <f t="shared" si="2"/>
        <v>476900</v>
      </c>
      <c r="AA80" s="830">
        <f t="shared" si="3"/>
        <v>0</v>
      </c>
      <c r="AB80" s="574">
        <f t="shared" si="4"/>
        <v>0</v>
      </c>
      <c r="AC80" s="574">
        <f t="shared" si="8"/>
        <v>0</v>
      </c>
      <c r="AD80" s="735">
        <f t="shared" si="9"/>
        <v>0</v>
      </c>
      <c r="AE80" s="574">
        <f>(SUMIF(COSTING!$B$10:$B$826,B80,COSTING!$L$10:$L$826))</f>
        <v>0</v>
      </c>
      <c r="AF80" s="1015"/>
    </row>
    <row r="81" spans="2:32">
      <c r="B81" s="572" t="s">
        <v>1671</v>
      </c>
      <c r="C81" s="572" t="s">
        <v>1579</v>
      </c>
      <c r="D81" s="572"/>
      <c r="E81" s="572"/>
      <c r="F81" s="572" t="str">
        <f>VLOOKUP(B81,MasterSheet!$B$6:$N$187,5,)</f>
        <v>1ea</v>
      </c>
      <c r="G81" s="720" t="s">
        <v>1858</v>
      </c>
      <c r="H81" s="573">
        <f>VLOOKUP(B81,MasterSheet!$B$6:$N$187,7,)</f>
        <v>720</v>
      </c>
      <c r="I81" s="694">
        <v>570</v>
      </c>
      <c r="J81" s="575">
        <v>0</v>
      </c>
      <c r="K81" s="575">
        <v>0</v>
      </c>
      <c r="L81" s="574">
        <v>507</v>
      </c>
      <c r="M81" s="574"/>
      <c r="N81" s="574"/>
      <c r="O81" s="574"/>
      <c r="P81" s="574"/>
      <c r="Q81" s="574"/>
      <c r="R81" s="574"/>
      <c r="S81" s="574"/>
      <c r="T81" s="574"/>
      <c r="U81" s="574"/>
      <c r="V81" s="574"/>
      <c r="W81" s="574"/>
      <c r="X81" s="574"/>
      <c r="Y81" s="574">
        <f t="shared" si="6"/>
        <v>45360</v>
      </c>
      <c r="Z81" s="574">
        <f t="shared" ref="Z81:Z140" si="10">IFERROR(SUM(L81,N81,M81)-O81,"")*H81</f>
        <v>365040</v>
      </c>
      <c r="AA81" s="830">
        <f t="shared" ref="AA81:AA141" si="11">IFERROR(SUM(O81,P81,Q81)-R81,"")*H81</f>
        <v>0</v>
      </c>
      <c r="AB81" s="574">
        <f t="shared" ref="AB81:AB141" si="12">IFERROR(SUM(R81,S81,T81)-U81,"")*H81</f>
        <v>0</v>
      </c>
      <c r="AC81" s="574">
        <f t="shared" si="8"/>
        <v>0</v>
      </c>
      <c r="AD81" s="735">
        <f t="shared" si="9"/>
        <v>0</v>
      </c>
      <c r="AE81" s="574">
        <f>(SUMIF(COSTING!$B$10:$B$826,B81,COSTING!$L$10:$L$826))</f>
        <v>0</v>
      </c>
      <c r="AF81" s="1015"/>
    </row>
    <row r="82" spans="2:32">
      <c r="B82" s="572" t="s">
        <v>1322</v>
      </c>
      <c r="C82" s="572" t="s">
        <v>1580</v>
      </c>
      <c r="D82" s="572"/>
      <c r="E82" s="572"/>
      <c r="F82" s="572" t="str">
        <f>VLOOKUP(B82,MasterSheet!$B$6:$N$187,5,)</f>
        <v>1ea</v>
      </c>
      <c r="G82" s="720" t="s">
        <v>1858</v>
      </c>
      <c r="H82" s="573">
        <f>VLOOKUP(B82,MasterSheet!$B$6:$N$187,7,)</f>
        <v>670</v>
      </c>
      <c r="I82" s="694">
        <v>536</v>
      </c>
      <c r="J82" s="575">
        <v>0</v>
      </c>
      <c r="K82" s="575">
        <v>0</v>
      </c>
      <c r="L82" s="574">
        <v>360</v>
      </c>
      <c r="M82" s="574"/>
      <c r="N82" s="574"/>
      <c r="O82" s="574"/>
      <c r="P82" s="574"/>
      <c r="Q82" s="574"/>
      <c r="R82" s="574"/>
      <c r="S82" s="574"/>
      <c r="T82" s="574"/>
      <c r="U82" s="574"/>
      <c r="V82" s="574"/>
      <c r="W82" s="574"/>
      <c r="X82" s="574"/>
      <c r="Y82" s="574">
        <f t="shared" si="6"/>
        <v>117920</v>
      </c>
      <c r="Z82" s="574">
        <f t="shared" si="10"/>
        <v>241200</v>
      </c>
      <c r="AA82" s="830">
        <f t="shared" si="11"/>
        <v>0</v>
      </c>
      <c r="AB82" s="574">
        <f t="shared" si="12"/>
        <v>0</v>
      </c>
      <c r="AC82" s="574">
        <f t="shared" si="8"/>
        <v>0</v>
      </c>
      <c r="AD82" s="735">
        <f t="shared" si="9"/>
        <v>0</v>
      </c>
      <c r="AE82" s="574">
        <f>(SUMIF(COSTING!$B$10:$B$826,B82,COSTING!$L$10:$L$826))</f>
        <v>145</v>
      </c>
      <c r="AF82" s="1015"/>
    </row>
    <row r="83" spans="2:32">
      <c r="B83" s="572" t="s">
        <v>1337</v>
      </c>
      <c r="C83" s="572" t="s">
        <v>1581</v>
      </c>
      <c r="D83" s="578"/>
      <c r="E83" s="578"/>
      <c r="F83" s="572" t="str">
        <f>VLOOKUP(B83,MasterSheet!$B$6:$N$187,5,)</f>
        <v>1ea</v>
      </c>
      <c r="G83" s="720" t="s">
        <v>1858</v>
      </c>
      <c r="H83" s="573">
        <f>VLOOKUP(B83,MasterSheet!$B$6:$N$187,7,)</f>
        <v>1238</v>
      </c>
      <c r="I83" s="694">
        <v>733</v>
      </c>
      <c r="J83" s="575">
        <v>0</v>
      </c>
      <c r="K83" s="575">
        <v>0</v>
      </c>
      <c r="L83" s="574">
        <v>463</v>
      </c>
      <c r="M83" s="574"/>
      <c r="N83" s="574"/>
      <c r="O83" s="574"/>
      <c r="P83" s="574"/>
      <c r="Q83" s="574"/>
      <c r="R83" s="574"/>
      <c r="S83" s="574"/>
      <c r="T83" s="574"/>
      <c r="U83" s="574"/>
      <c r="V83" s="574"/>
      <c r="W83" s="574"/>
      <c r="X83" s="574"/>
      <c r="Y83" s="574">
        <f t="shared" si="6"/>
        <v>334260</v>
      </c>
      <c r="Z83" s="574">
        <f t="shared" si="10"/>
        <v>573194</v>
      </c>
      <c r="AA83" s="575">
        <f t="shared" si="11"/>
        <v>0</v>
      </c>
      <c r="AB83" s="830">
        <f t="shared" si="12"/>
        <v>0</v>
      </c>
      <c r="AC83" s="574">
        <f t="shared" si="8"/>
        <v>0</v>
      </c>
      <c r="AD83" s="735">
        <f t="shared" si="9"/>
        <v>0</v>
      </c>
      <c r="AE83" s="574">
        <f>(SUMIF(COSTING!$B$10:$B$826,B83,COSTING!$L$10:$L$826))</f>
        <v>54.5</v>
      </c>
      <c r="AF83" s="1015"/>
    </row>
    <row r="84" spans="2:32">
      <c r="B84" s="572" t="s">
        <v>1335</v>
      </c>
      <c r="C84" s="572" t="s">
        <v>1582</v>
      </c>
      <c r="D84" s="578"/>
      <c r="E84" s="578"/>
      <c r="F84" s="572" t="str">
        <f>VLOOKUP(B84,MasterSheet!$B$6:$N$187,5,)</f>
        <v>1ea</v>
      </c>
      <c r="G84" s="720" t="s">
        <v>1858</v>
      </c>
      <c r="H84" s="573">
        <f>VLOOKUP(B84,MasterSheet!$B$6:$N$187,7,)</f>
        <v>1204</v>
      </c>
      <c r="I84" s="694">
        <v>462</v>
      </c>
      <c r="J84" s="575">
        <v>0</v>
      </c>
      <c r="K84" s="575">
        <v>0</v>
      </c>
      <c r="L84" s="574">
        <v>380</v>
      </c>
      <c r="M84" s="574"/>
      <c r="N84" s="574"/>
      <c r="O84" s="574"/>
      <c r="P84" s="574"/>
      <c r="Q84" s="574"/>
      <c r="R84" s="574"/>
      <c r="S84" s="574"/>
      <c r="T84" s="574"/>
      <c r="U84" s="574"/>
      <c r="V84" s="574"/>
      <c r="W84" s="574"/>
      <c r="X84" s="574"/>
      <c r="Y84" s="574">
        <f t="shared" si="6"/>
        <v>98728</v>
      </c>
      <c r="Z84" s="574">
        <f t="shared" si="10"/>
        <v>457520</v>
      </c>
      <c r="AA84" s="830">
        <f t="shared" si="11"/>
        <v>0</v>
      </c>
      <c r="AB84" s="830">
        <f t="shared" si="12"/>
        <v>0</v>
      </c>
      <c r="AC84" s="574">
        <f t="shared" si="8"/>
        <v>0</v>
      </c>
      <c r="AD84" s="735">
        <f t="shared" si="9"/>
        <v>0</v>
      </c>
      <c r="AE84" s="574">
        <f>(SUMIF(COSTING!$B$10:$B$826,B84,COSTING!$L$10:$L$826))</f>
        <v>38</v>
      </c>
      <c r="AF84" s="1015"/>
    </row>
    <row r="85" spans="2:32">
      <c r="B85" s="572" t="s">
        <v>1395</v>
      </c>
      <c r="C85" s="572" t="s">
        <v>1394</v>
      </c>
      <c r="D85" s="572"/>
      <c r="E85" s="572"/>
      <c r="F85" s="572" t="str">
        <f>VLOOKUP(B85,MasterSheet!$B$6:$N$187,5,)</f>
        <v>1ea</v>
      </c>
      <c r="G85" s="720" t="s">
        <v>1858</v>
      </c>
      <c r="H85" s="573">
        <f>VLOOKUP(B85,MasterSheet!$B$6:$N$187,7,)</f>
        <v>737</v>
      </c>
      <c r="I85" s="694">
        <v>635</v>
      </c>
      <c r="J85" s="575">
        <v>0</v>
      </c>
      <c r="K85" s="575">
        <v>0</v>
      </c>
      <c r="L85" s="574">
        <v>524</v>
      </c>
      <c r="M85" s="574"/>
      <c r="N85" s="574"/>
      <c r="O85" s="574"/>
      <c r="P85" s="574"/>
      <c r="Q85" s="574"/>
      <c r="R85" s="574"/>
      <c r="S85" s="574"/>
      <c r="T85" s="574"/>
      <c r="U85" s="574"/>
      <c r="V85" s="574"/>
      <c r="W85" s="574"/>
      <c r="X85" s="574"/>
      <c r="Y85" s="574">
        <f t="shared" si="6"/>
        <v>81807</v>
      </c>
      <c r="Z85" s="574">
        <f t="shared" si="10"/>
        <v>386188</v>
      </c>
      <c r="AA85" s="830">
        <f t="shared" si="11"/>
        <v>0</v>
      </c>
      <c r="AB85" s="830">
        <f t="shared" si="12"/>
        <v>0</v>
      </c>
      <c r="AC85" s="574">
        <f t="shared" si="8"/>
        <v>0</v>
      </c>
      <c r="AD85" s="735">
        <f t="shared" si="9"/>
        <v>0</v>
      </c>
      <c r="AE85" s="574">
        <f>(SUMIF(COSTING!$B$10:$B$826,B85,COSTING!$L$10:$L$826))</f>
        <v>17</v>
      </c>
      <c r="AF85" s="1015"/>
    </row>
    <row r="86" spans="2:32">
      <c r="B86" s="572" t="s">
        <v>1341</v>
      </c>
      <c r="C86" s="572" t="s">
        <v>1583</v>
      </c>
      <c r="D86" s="572"/>
      <c r="E86" s="572"/>
      <c r="F86" s="572" t="str">
        <f>VLOOKUP(B86,MasterSheet!$B$6:$N$187,5,)</f>
        <v>1ea</v>
      </c>
      <c r="G86" s="720" t="s">
        <v>1858</v>
      </c>
      <c r="H86" s="573">
        <f>VLOOKUP(B86,MasterSheet!$B$6:$N$187,7,)</f>
        <v>600</v>
      </c>
      <c r="I86" s="694">
        <v>0</v>
      </c>
      <c r="J86" s="575">
        <v>0</v>
      </c>
      <c r="K86" s="575">
        <v>0</v>
      </c>
      <c r="L86" s="574">
        <v>0</v>
      </c>
      <c r="M86" s="574"/>
      <c r="N86" s="574"/>
      <c r="O86" s="574"/>
      <c r="P86" s="574"/>
      <c r="Q86" s="574"/>
      <c r="R86" s="574"/>
      <c r="S86" s="574"/>
      <c r="T86" s="574"/>
      <c r="U86" s="574"/>
      <c r="V86" s="574"/>
      <c r="W86" s="574"/>
      <c r="X86" s="574"/>
      <c r="Y86" s="574">
        <f t="shared" si="6"/>
        <v>0</v>
      </c>
      <c r="Z86" s="574">
        <f t="shared" si="10"/>
        <v>0</v>
      </c>
      <c r="AA86" s="830">
        <f t="shared" si="11"/>
        <v>0</v>
      </c>
      <c r="AB86" s="830">
        <f t="shared" si="12"/>
        <v>0</v>
      </c>
      <c r="AC86" s="574">
        <f t="shared" si="8"/>
        <v>0</v>
      </c>
      <c r="AD86" s="735">
        <f t="shared" si="9"/>
        <v>0</v>
      </c>
      <c r="AE86" s="574">
        <f>(SUMIF(COSTING!$B$10:$B$826,B86,COSTING!$L$10:$L$826))</f>
        <v>524.5</v>
      </c>
      <c r="AF86" s="1015"/>
    </row>
    <row r="87" spans="2:32">
      <c r="B87" s="572" t="s">
        <v>1162</v>
      </c>
      <c r="C87" s="572" t="s">
        <v>1584</v>
      </c>
      <c r="D87" s="572"/>
      <c r="E87" s="572"/>
      <c r="F87" s="572" t="str">
        <f>VLOOKUP(B87,MasterSheet!$B$6:$N$187,5,)</f>
        <v>1ea</v>
      </c>
      <c r="G87" s="720" t="s">
        <v>1858</v>
      </c>
      <c r="H87" s="573">
        <f>VLOOKUP(B87,MasterSheet!$B$6:$N$187,7,)</f>
        <v>535</v>
      </c>
      <c r="I87" s="694">
        <v>330</v>
      </c>
      <c r="J87" s="575">
        <v>0</v>
      </c>
      <c r="K87" s="575">
        <v>0</v>
      </c>
      <c r="L87" s="574">
        <v>330</v>
      </c>
      <c r="M87" s="574"/>
      <c r="N87" s="574"/>
      <c r="O87" s="574"/>
      <c r="P87" s="574"/>
      <c r="Q87" s="574"/>
      <c r="R87" s="574"/>
      <c r="S87" s="574"/>
      <c r="T87" s="574"/>
      <c r="U87" s="574"/>
      <c r="V87" s="574"/>
      <c r="W87" s="574"/>
      <c r="X87" s="574"/>
      <c r="Y87" s="574">
        <f t="shared" si="6"/>
        <v>0</v>
      </c>
      <c r="Z87" s="574">
        <f t="shared" si="10"/>
        <v>176550</v>
      </c>
      <c r="AA87" s="830">
        <f t="shared" si="11"/>
        <v>0</v>
      </c>
      <c r="AB87" s="574">
        <f t="shared" si="12"/>
        <v>0</v>
      </c>
      <c r="AC87" s="574">
        <f t="shared" si="8"/>
        <v>0</v>
      </c>
      <c r="AD87" s="735">
        <f t="shared" si="9"/>
        <v>0</v>
      </c>
      <c r="AE87" s="574">
        <f>(SUMIF(COSTING!$B$10:$B$826,B87,COSTING!$L$10:$L$826))</f>
        <v>65</v>
      </c>
      <c r="AF87" s="1015"/>
    </row>
    <row r="88" spans="2:32">
      <c r="B88" s="572" t="s">
        <v>1342</v>
      </c>
      <c r="C88" s="572" t="s">
        <v>1585</v>
      </c>
      <c r="D88" s="572"/>
      <c r="E88" s="572"/>
      <c r="F88" s="572" t="str">
        <f>VLOOKUP(B88,MasterSheet!$B$6:$N$187,5,)</f>
        <v>1ea</v>
      </c>
      <c r="G88" s="720" t="s">
        <v>1858</v>
      </c>
      <c r="H88" s="573">
        <f>VLOOKUP(B88,MasterSheet!$B$6:$N$187,7,)</f>
        <v>1800</v>
      </c>
      <c r="I88" s="694">
        <v>0</v>
      </c>
      <c r="J88" s="575">
        <v>0</v>
      </c>
      <c r="K88" s="575">
        <v>0</v>
      </c>
      <c r="L88" s="574">
        <v>0</v>
      </c>
      <c r="M88" s="574"/>
      <c r="N88" s="574"/>
      <c r="O88" s="574"/>
      <c r="P88" s="574"/>
      <c r="Q88" s="574"/>
      <c r="R88" s="574"/>
      <c r="S88" s="574"/>
      <c r="T88" s="574"/>
      <c r="U88" s="574"/>
      <c r="V88" s="574"/>
      <c r="W88" s="574"/>
      <c r="X88" s="574"/>
      <c r="Y88" s="574">
        <f t="shared" si="6"/>
        <v>0</v>
      </c>
      <c r="Z88" s="574">
        <f t="shared" si="10"/>
        <v>0</v>
      </c>
      <c r="AA88" s="830">
        <f t="shared" si="11"/>
        <v>0</v>
      </c>
      <c r="AB88" s="830">
        <f t="shared" si="12"/>
        <v>0</v>
      </c>
      <c r="AC88" s="574">
        <f t="shared" si="8"/>
        <v>0</v>
      </c>
      <c r="AD88" s="735">
        <f t="shared" si="9"/>
        <v>0</v>
      </c>
      <c r="AE88" s="574">
        <f>(SUMIF(COSTING!$B$10:$B$826,B88,COSTING!$L$10:$L$826))</f>
        <v>159.5</v>
      </c>
      <c r="AF88" s="1015"/>
    </row>
    <row r="89" spans="2:32">
      <c r="B89" s="572" t="s">
        <v>1214</v>
      </c>
      <c r="C89" s="572" t="s">
        <v>1668</v>
      </c>
      <c r="D89" s="572"/>
      <c r="E89" s="572"/>
      <c r="F89" s="572" t="str">
        <f>VLOOKUP(B89,MasterSheet!$B$6:$N$187,5,)</f>
        <v>1ea</v>
      </c>
      <c r="G89" s="720" t="s">
        <v>1858</v>
      </c>
      <c r="H89" s="573">
        <f>VLOOKUP(B89,MasterSheet!$B$6:$N$187,7,)</f>
        <v>1428</v>
      </c>
      <c r="I89" s="694">
        <v>0</v>
      </c>
      <c r="J89" s="575">
        <v>0</v>
      </c>
      <c r="K89" s="575">
        <v>0</v>
      </c>
      <c r="L89" s="574">
        <v>0</v>
      </c>
      <c r="M89" s="574"/>
      <c r="N89" s="574"/>
      <c r="O89" s="574"/>
      <c r="P89" s="574"/>
      <c r="Q89" s="574"/>
      <c r="R89" s="574"/>
      <c r="S89" s="574"/>
      <c r="T89" s="574"/>
      <c r="U89" s="574"/>
      <c r="V89" s="574"/>
      <c r="W89" s="574"/>
      <c r="X89" s="574"/>
      <c r="Y89" s="574">
        <f t="shared" ref="Y89:Y141" si="13">IFERROR(SUM(I89,K89,J89)-L89,"")*H89</f>
        <v>0</v>
      </c>
      <c r="Z89" s="574">
        <f t="shared" si="10"/>
        <v>0</v>
      </c>
      <c r="AA89" s="830">
        <f t="shared" si="11"/>
        <v>0</v>
      </c>
      <c r="AB89" s="574">
        <f t="shared" si="12"/>
        <v>0</v>
      </c>
      <c r="AC89" s="574">
        <f t="shared" si="8"/>
        <v>0</v>
      </c>
      <c r="AD89" s="735">
        <f t="shared" si="9"/>
        <v>0</v>
      </c>
      <c r="AE89" s="574">
        <f>(SUMIF(COSTING!$B$10:$B$826,B89,COSTING!$L$10:$L$826))</f>
        <v>0</v>
      </c>
      <c r="AF89" s="1015"/>
    </row>
    <row r="90" spans="2:32">
      <c r="B90" s="572" t="s">
        <v>1736</v>
      </c>
      <c r="C90" s="572" t="s">
        <v>1586</v>
      </c>
      <c r="D90" s="572"/>
      <c r="E90" s="572"/>
      <c r="F90" s="572" t="str">
        <f>VLOOKUP(B90,MasterSheet!$B$6:$N$187,5,)</f>
        <v>1ea</v>
      </c>
      <c r="G90" s="720" t="s">
        <v>1858</v>
      </c>
      <c r="H90" s="573">
        <f>VLOOKUP(B90,MasterSheet!$B$6:$N$187,7,)</f>
        <v>694</v>
      </c>
      <c r="I90" s="694">
        <v>892</v>
      </c>
      <c r="J90" s="575">
        <v>0</v>
      </c>
      <c r="K90" s="575">
        <v>0</v>
      </c>
      <c r="L90" s="574">
        <v>449</v>
      </c>
      <c r="M90" s="574"/>
      <c r="N90" s="574"/>
      <c r="O90" s="574"/>
      <c r="P90" s="574"/>
      <c r="Q90" s="574"/>
      <c r="R90" s="574"/>
      <c r="S90" s="574"/>
      <c r="T90" s="574"/>
      <c r="U90" s="574"/>
      <c r="V90" s="574"/>
      <c r="W90" s="574"/>
      <c r="X90" s="574"/>
      <c r="Y90" s="574">
        <f t="shared" si="13"/>
        <v>307442</v>
      </c>
      <c r="Z90" s="574">
        <f t="shared" si="10"/>
        <v>311606</v>
      </c>
      <c r="AA90" s="830">
        <f t="shared" si="11"/>
        <v>0</v>
      </c>
      <c r="AB90" s="574">
        <f t="shared" si="12"/>
        <v>0</v>
      </c>
      <c r="AC90" s="574">
        <f t="shared" si="8"/>
        <v>0</v>
      </c>
      <c r="AD90" s="735">
        <f t="shared" si="9"/>
        <v>0</v>
      </c>
      <c r="AE90" s="574">
        <f>(SUMIF(COSTING!$B$10:$B$826,B90,COSTING!$L$10:$L$826))</f>
        <v>0</v>
      </c>
      <c r="AF90" s="1015"/>
    </row>
    <row r="91" spans="2:32">
      <c r="B91" s="572" t="s">
        <v>1737</v>
      </c>
      <c r="C91" s="572" t="s">
        <v>1587</v>
      </c>
      <c r="D91" s="572"/>
      <c r="E91" s="572"/>
      <c r="F91" s="572" t="str">
        <f>VLOOKUP(B91,MasterSheet!$B$6:$N$187,5,)</f>
        <v>1ea</v>
      </c>
      <c r="G91" s="720" t="s">
        <v>1858</v>
      </c>
      <c r="H91" s="573">
        <f>VLOOKUP(B91,MasterSheet!$B$6:$N$187,7,)</f>
        <v>375</v>
      </c>
      <c r="I91" s="694">
        <v>250</v>
      </c>
      <c r="J91" s="575">
        <v>0</v>
      </c>
      <c r="K91" s="575">
        <v>0</v>
      </c>
      <c r="L91" s="574">
        <v>213</v>
      </c>
      <c r="M91" s="574"/>
      <c r="N91" s="574"/>
      <c r="O91" s="574"/>
      <c r="P91" s="574"/>
      <c r="Q91" s="574"/>
      <c r="R91" s="574"/>
      <c r="S91" s="574"/>
      <c r="T91" s="574"/>
      <c r="U91" s="574"/>
      <c r="V91" s="574"/>
      <c r="W91" s="574"/>
      <c r="X91" s="574"/>
      <c r="Y91" s="574">
        <f t="shared" si="13"/>
        <v>13875</v>
      </c>
      <c r="Z91" s="574">
        <f t="shared" si="10"/>
        <v>79875</v>
      </c>
      <c r="AA91" s="830">
        <f t="shared" si="11"/>
        <v>0</v>
      </c>
      <c r="AB91" s="574">
        <f t="shared" si="12"/>
        <v>0</v>
      </c>
      <c r="AC91" s="574">
        <f t="shared" si="8"/>
        <v>0</v>
      </c>
      <c r="AD91" s="735">
        <f t="shared" si="9"/>
        <v>0</v>
      </c>
      <c r="AE91" s="574">
        <f>(SUMIF(COSTING!$B$10:$B$826,B91,COSTING!$L$10:$L$826))</f>
        <v>0</v>
      </c>
      <c r="AF91" s="1015"/>
    </row>
    <row r="92" spans="2:32">
      <c r="B92" s="572" t="s">
        <v>1738</v>
      </c>
      <c r="C92" s="572" t="s">
        <v>1588</v>
      </c>
      <c r="D92" s="572"/>
      <c r="E92" s="572"/>
      <c r="F92" s="572" t="str">
        <f>VLOOKUP(B92,MasterSheet!$B$6:$N$187,5,)</f>
        <v>1ea</v>
      </c>
      <c r="G92" s="720" t="s">
        <v>1858</v>
      </c>
      <c r="H92" s="573">
        <f>VLOOKUP(B92,MasterSheet!$B$6:$N$187,7,)</f>
        <v>443</v>
      </c>
      <c r="I92" s="694">
        <v>350</v>
      </c>
      <c r="J92" s="575">
        <v>0</v>
      </c>
      <c r="K92" s="575">
        <v>0</v>
      </c>
      <c r="L92" s="574">
        <v>338</v>
      </c>
      <c r="M92" s="574"/>
      <c r="N92" s="574"/>
      <c r="O92" s="574"/>
      <c r="P92" s="574"/>
      <c r="Q92" s="574"/>
      <c r="R92" s="574"/>
      <c r="S92" s="574"/>
      <c r="T92" s="574"/>
      <c r="U92" s="574"/>
      <c r="V92" s="574"/>
      <c r="W92" s="574"/>
      <c r="X92" s="574"/>
      <c r="Y92" s="574">
        <f t="shared" si="13"/>
        <v>5316</v>
      </c>
      <c r="Z92" s="574">
        <f t="shared" si="10"/>
        <v>149734</v>
      </c>
      <c r="AA92" s="830">
        <f t="shared" si="11"/>
        <v>0</v>
      </c>
      <c r="AB92" s="574">
        <f t="shared" si="12"/>
        <v>0</v>
      </c>
      <c r="AC92" s="574">
        <f t="shared" si="8"/>
        <v>0</v>
      </c>
      <c r="AD92" s="735">
        <f t="shared" si="9"/>
        <v>0</v>
      </c>
      <c r="AE92" s="574">
        <f>(SUMIF(COSTING!$B$10:$B$826,B92,COSTING!$L$10:$L$826))</f>
        <v>0</v>
      </c>
      <c r="AF92" s="1015"/>
    </row>
    <row r="93" spans="2:32">
      <c r="B93" s="572" t="s">
        <v>1669</v>
      </c>
      <c r="C93" s="572" t="s">
        <v>1383</v>
      </c>
      <c r="D93" s="572"/>
      <c r="E93" s="572"/>
      <c r="F93" s="572" t="str">
        <f>VLOOKUP(B93,MasterSheet!$B$6:$N$187,5,)</f>
        <v>1ea</v>
      </c>
      <c r="G93" s="720" t="s">
        <v>1858</v>
      </c>
      <c r="H93" s="573">
        <f>VLOOKUP(B93,MasterSheet!$B$6:$N$187,7,)</f>
        <v>200</v>
      </c>
      <c r="I93" s="694">
        <v>1219</v>
      </c>
      <c r="J93" s="575">
        <v>0</v>
      </c>
      <c r="K93" s="575">
        <v>0</v>
      </c>
      <c r="L93" s="574">
        <v>1061</v>
      </c>
      <c r="M93" s="574"/>
      <c r="N93" s="574"/>
      <c r="O93" s="574"/>
      <c r="P93" s="574"/>
      <c r="Q93" s="574"/>
      <c r="R93" s="574"/>
      <c r="S93" s="574"/>
      <c r="T93" s="574"/>
      <c r="U93" s="574"/>
      <c r="V93" s="574"/>
      <c r="W93" s="574"/>
      <c r="X93" s="574"/>
      <c r="Y93" s="574">
        <f t="shared" si="13"/>
        <v>31600</v>
      </c>
      <c r="Z93" s="574">
        <f t="shared" si="10"/>
        <v>212200</v>
      </c>
      <c r="AA93" s="830">
        <f t="shared" si="11"/>
        <v>0</v>
      </c>
      <c r="AB93" s="574">
        <f t="shared" si="12"/>
        <v>0</v>
      </c>
      <c r="AC93" s="575">
        <f t="shared" si="8"/>
        <v>0</v>
      </c>
      <c r="AD93" s="735">
        <f t="shared" si="9"/>
        <v>0</v>
      </c>
      <c r="AE93" s="574">
        <f>(SUMIF(COSTING!$B$10:$B$826,B93,COSTING!$L$10:$L$826))</f>
        <v>0</v>
      </c>
      <c r="AF93" s="1015"/>
    </row>
    <row r="94" spans="2:32">
      <c r="B94" s="572" t="s">
        <v>1365</v>
      </c>
      <c r="C94" s="572" t="s">
        <v>1589</v>
      </c>
      <c r="D94" s="572"/>
      <c r="E94" s="572"/>
      <c r="F94" s="572" t="str">
        <f>VLOOKUP(B94,MasterSheet!$B$6:$N$187,5,)</f>
        <v>1ea</v>
      </c>
      <c r="G94" s="720" t="s">
        <v>1858</v>
      </c>
      <c r="H94" s="573">
        <f>VLOOKUP(B94,MasterSheet!$B$6:$N$187,7,)</f>
        <v>750</v>
      </c>
      <c r="I94" s="694">
        <v>1851</v>
      </c>
      <c r="J94" s="575">
        <v>0</v>
      </c>
      <c r="K94" s="575">
        <v>0</v>
      </c>
      <c r="L94" s="574">
        <v>1766</v>
      </c>
      <c r="M94" s="574"/>
      <c r="N94" s="574"/>
      <c r="O94" s="574"/>
      <c r="P94" s="574"/>
      <c r="Q94" s="574"/>
      <c r="R94" s="574"/>
      <c r="S94" s="574"/>
      <c r="T94" s="574"/>
      <c r="U94" s="574"/>
      <c r="V94" s="574"/>
      <c r="W94" s="574"/>
      <c r="X94" s="574"/>
      <c r="Y94" s="574">
        <f t="shared" si="13"/>
        <v>63750</v>
      </c>
      <c r="Z94" s="574">
        <f t="shared" si="10"/>
        <v>1324500</v>
      </c>
      <c r="AA94" s="830">
        <f t="shared" si="11"/>
        <v>0</v>
      </c>
      <c r="AB94" s="574">
        <f t="shared" si="12"/>
        <v>0</v>
      </c>
      <c r="AC94" s="575">
        <f t="shared" si="8"/>
        <v>0</v>
      </c>
      <c r="AD94" s="735">
        <f t="shared" si="9"/>
        <v>0</v>
      </c>
      <c r="AE94" s="574">
        <f>(SUMIF(COSTING!$B$10:$B$826,B94,COSTING!$L$10:$L$826))</f>
        <v>477</v>
      </c>
      <c r="AF94" s="1015"/>
    </row>
    <row r="95" spans="2:32">
      <c r="B95" s="572" t="s">
        <v>1743</v>
      </c>
      <c r="C95" s="572" t="s">
        <v>1590</v>
      </c>
      <c r="D95" s="572"/>
      <c r="E95" s="572"/>
      <c r="F95" s="572" t="str">
        <f>VLOOKUP(B95,MasterSheet!$B$6:$N$187,5,)</f>
        <v>1ea</v>
      </c>
      <c r="G95" s="720" t="s">
        <v>1858</v>
      </c>
      <c r="H95" s="573">
        <f>VLOOKUP(B95,MasterSheet!$B$6:$N$187,7,)</f>
        <v>208</v>
      </c>
      <c r="I95" s="694">
        <v>1071</v>
      </c>
      <c r="J95" s="575">
        <v>0</v>
      </c>
      <c r="K95" s="575">
        <v>0</v>
      </c>
      <c r="L95" s="574">
        <v>1061</v>
      </c>
      <c r="M95" s="574"/>
      <c r="N95" s="574"/>
      <c r="O95" s="574"/>
      <c r="P95" s="574"/>
      <c r="Q95" s="574"/>
      <c r="R95" s="574"/>
      <c r="S95" s="574"/>
      <c r="T95" s="574"/>
      <c r="U95" s="574"/>
      <c r="V95" s="574"/>
      <c r="W95" s="574"/>
      <c r="X95" s="574"/>
      <c r="Y95" s="574">
        <f t="shared" si="13"/>
        <v>2080</v>
      </c>
      <c r="Z95" s="574">
        <f t="shared" si="10"/>
        <v>220688</v>
      </c>
      <c r="AA95" s="830">
        <f t="shared" si="11"/>
        <v>0</v>
      </c>
      <c r="AB95" s="574">
        <f t="shared" si="12"/>
        <v>0</v>
      </c>
      <c r="AC95" s="575">
        <f t="shared" si="8"/>
        <v>0</v>
      </c>
      <c r="AD95" s="735">
        <f t="shared" si="9"/>
        <v>0</v>
      </c>
      <c r="AE95" s="574">
        <f>(SUMIF(COSTING!$B$10:$B$826,B95,COSTING!$L$10:$L$826))</f>
        <v>0</v>
      </c>
      <c r="AF95" s="1015"/>
    </row>
    <row r="96" spans="2:32">
      <c r="B96" s="572" t="s">
        <v>1744</v>
      </c>
      <c r="C96" s="572" t="s">
        <v>1591</v>
      </c>
      <c r="D96" s="572"/>
      <c r="E96" s="572"/>
      <c r="F96" s="572" t="str">
        <f>VLOOKUP(B96,MasterSheet!$B$6:$N$187,5,)</f>
        <v>1ea</v>
      </c>
      <c r="G96" s="720" t="s">
        <v>1858</v>
      </c>
      <c r="H96" s="573">
        <f>VLOOKUP(B96,MasterSheet!$B$6:$N$187,7,)</f>
        <v>300</v>
      </c>
      <c r="I96" s="694">
        <v>0</v>
      </c>
      <c r="J96" s="575">
        <v>0</v>
      </c>
      <c r="K96" s="575">
        <v>0</v>
      </c>
      <c r="L96" s="574">
        <v>0</v>
      </c>
      <c r="M96" s="574"/>
      <c r="N96" s="574"/>
      <c r="O96" s="574"/>
      <c r="P96" s="574"/>
      <c r="Q96" s="574"/>
      <c r="R96" s="574"/>
      <c r="S96" s="574"/>
      <c r="T96" s="574"/>
      <c r="U96" s="574"/>
      <c r="V96" s="574"/>
      <c r="W96" s="574"/>
      <c r="X96" s="574"/>
      <c r="Y96" s="574">
        <f t="shared" si="13"/>
        <v>0</v>
      </c>
      <c r="Z96" s="574">
        <f t="shared" si="10"/>
        <v>0</v>
      </c>
      <c r="AA96" s="830">
        <f t="shared" si="11"/>
        <v>0</v>
      </c>
      <c r="AB96" s="574">
        <f t="shared" si="12"/>
        <v>0</v>
      </c>
      <c r="AC96" s="575">
        <f t="shared" si="8"/>
        <v>0</v>
      </c>
      <c r="AD96" s="735">
        <f t="shared" si="9"/>
        <v>0</v>
      </c>
      <c r="AE96" s="574">
        <f>(SUMIF(COSTING!$B$10:$B$826,B96,COSTING!$L$10:$L$826))</f>
        <v>0</v>
      </c>
      <c r="AF96" s="1015"/>
    </row>
    <row r="97" spans="2:36">
      <c r="B97" s="572" t="s">
        <v>1754</v>
      </c>
      <c r="C97" s="572" t="s">
        <v>1592</v>
      </c>
      <c r="D97" s="572"/>
      <c r="E97" s="572"/>
      <c r="F97" s="572" t="str">
        <f>VLOOKUP(B97,MasterSheet!$B$6:$N$187,5,)</f>
        <v>1ea</v>
      </c>
      <c r="G97" s="720" t="s">
        <v>1858</v>
      </c>
      <c r="H97" s="573">
        <f>VLOOKUP(B97,MasterSheet!$B$6:$N$187,7,)</f>
        <v>3750</v>
      </c>
      <c r="I97" s="694">
        <v>98</v>
      </c>
      <c r="J97" s="575">
        <v>0</v>
      </c>
      <c r="K97" s="575">
        <v>0</v>
      </c>
      <c r="L97" s="574">
        <v>98</v>
      </c>
      <c r="M97" s="574"/>
      <c r="N97" s="574"/>
      <c r="O97" s="574"/>
      <c r="P97" s="574"/>
      <c r="Q97" s="574"/>
      <c r="R97" s="574"/>
      <c r="S97" s="574"/>
      <c r="T97" s="574"/>
      <c r="U97" s="574"/>
      <c r="V97" s="574"/>
      <c r="W97" s="574"/>
      <c r="X97" s="574"/>
      <c r="Y97" s="574">
        <f t="shared" si="13"/>
        <v>0</v>
      </c>
      <c r="Z97" s="574">
        <f t="shared" si="10"/>
        <v>367500</v>
      </c>
      <c r="AA97" s="830">
        <f t="shared" si="11"/>
        <v>0</v>
      </c>
      <c r="AB97" s="574">
        <f t="shared" si="12"/>
        <v>0</v>
      </c>
      <c r="AC97" s="575">
        <f t="shared" si="8"/>
        <v>0</v>
      </c>
      <c r="AD97" s="735">
        <f t="shared" si="9"/>
        <v>0</v>
      </c>
      <c r="AE97" s="574">
        <f>(SUMIF(COSTING!$B$10:$B$826,B97,COSTING!$L$10:$L$826))</f>
        <v>0</v>
      </c>
      <c r="AF97" s="1010"/>
    </row>
    <row r="98" spans="2:36">
      <c r="B98" s="572" t="s">
        <v>1755</v>
      </c>
      <c r="C98" s="572" t="s">
        <v>1593</v>
      </c>
      <c r="D98" s="572"/>
      <c r="E98" s="572"/>
      <c r="F98" s="572" t="str">
        <f>VLOOKUP(B98,MasterSheet!$B$6:$N$187,5,)</f>
        <v>1ea</v>
      </c>
      <c r="G98" s="720" t="s">
        <v>1858</v>
      </c>
      <c r="H98" s="573">
        <f>VLOOKUP(B98,MasterSheet!$B$6:$N$187,7,)</f>
        <v>1700</v>
      </c>
      <c r="I98" s="694">
        <v>212</v>
      </c>
      <c r="J98" s="575">
        <v>0</v>
      </c>
      <c r="K98" s="575">
        <v>0</v>
      </c>
      <c r="L98" s="574">
        <v>191</v>
      </c>
      <c r="M98" s="574"/>
      <c r="N98" s="574"/>
      <c r="O98" s="574"/>
      <c r="P98" s="574"/>
      <c r="Q98" s="574"/>
      <c r="R98" s="574"/>
      <c r="S98" s="574"/>
      <c r="T98" s="574"/>
      <c r="U98" s="574"/>
      <c r="V98" s="574"/>
      <c r="W98" s="574"/>
      <c r="X98" s="574"/>
      <c r="Y98" s="574">
        <f t="shared" si="13"/>
        <v>35700</v>
      </c>
      <c r="Z98" s="574">
        <f t="shared" si="10"/>
        <v>324700</v>
      </c>
      <c r="AA98" s="830">
        <f t="shared" si="11"/>
        <v>0</v>
      </c>
      <c r="AB98" s="830">
        <f t="shared" si="12"/>
        <v>0</v>
      </c>
      <c r="AC98" s="575">
        <f t="shared" si="8"/>
        <v>0</v>
      </c>
      <c r="AD98" s="735">
        <f t="shared" si="9"/>
        <v>0</v>
      </c>
      <c r="AE98" s="574">
        <f>(SUMIF(COSTING!$B$10:$B$826,B98,COSTING!$L$10:$L$826))</f>
        <v>0</v>
      </c>
      <c r="AF98" s="1015"/>
    </row>
    <row r="99" spans="2:36">
      <c r="B99" s="572" t="s">
        <v>1756</v>
      </c>
      <c r="C99" s="572" t="s">
        <v>1594</v>
      </c>
      <c r="D99" s="572"/>
      <c r="E99" s="572"/>
      <c r="F99" s="572" t="str">
        <f>VLOOKUP(B99,MasterSheet!$B$6:$N$187,5,)</f>
        <v>1ea</v>
      </c>
      <c r="G99" s="720" t="s">
        <v>1858</v>
      </c>
      <c r="H99" s="573">
        <f>VLOOKUP(B99,MasterSheet!$B$6:$N$187,7,)</f>
        <v>1370</v>
      </c>
      <c r="I99" s="694">
        <v>288</v>
      </c>
      <c r="J99" s="575">
        <v>0</v>
      </c>
      <c r="K99" s="575">
        <v>0</v>
      </c>
      <c r="L99" s="574">
        <v>62</v>
      </c>
      <c r="M99" s="574"/>
      <c r="N99" s="574"/>
      <c r="O99" s="574"/>
      <c r="P99" s="574"/>
      <c r="Q99" s="574"/>
      <c r="R99" s="574"/>
      <c r="S99" s="574"/>
      <c r="T99" s="574"/>
      <c r="U99" s="574"/>
      <c r="V99" s="574"/>
      <c r="W99" s="574"/>
      <c r="X99" s="574"/>
      <c r="Y99" s="574">
        <f t="shared" si="13"/>
        <v>309620</v>
      </c>
      <c r="Z99" s="574">
        <f t="shared" si="10"/>
        <v>84940</v>
      </c>
      <c r="AA99" s="830">
        <f t="shared" si="11"/>
        <v>0</v>
      </c>
      <c r="AB99" s="574">
        <f t="shared" si="12"/>
        <v>0</v>
      </c>
      <c r="AC99" s="575">
        <f t="shared" si="8"/>
        <v>0</v>
      </c>
      <c r="AD99" s="735">
        <f t="shared" si="9"/>
        <v>0</v>
      </c>
      <c r="AE99" s="574">
        <f>(SUMIF(COSTING!$B$10:$B$826,B99,COSTING!$L$10:$L$826))</f>
        <v>0</v>
      </c>
      <c r="AF99" s="1015"/>
    </row>
    <row r="100" spans="2:36">
      <c r="B100" s="572" t="s">
        <v>1182</v>
      </c>
      <c r="C100" s="572" t="s">
        <v>1672</v>
      </c>
      <c r="D100" s="572"/>
      <c r="E100" s="572"/>
      <c r="F100" s="572" t="str">
        <f>VLOOKUP(B100,MasterSheet!$B$6:$N$187,5,)</f>
        <v>1ea</v>
      </c>
      <c r="G100" s="720" t="s">
        <v>1858</v>
      </c>
      <c r="H100" s="573">
        <f>VLOOKUP(B100,MasterSheet!$B$6:$N$187,7,)</f>
        <v>1164</v>
      </c>
      <c r="I100" s="694">
        <v>812</v>
      </c>
      <c r="J100" s="575">
        <v>0</v>
      </c>
      <c r="K100" s="575">
        <v>0</v>
      </c>
      <c r="L100" s="574">
        <v>626</v>
      </c>
      <c r="M100" s="574"/>
      <c r="N100" s="574"/>
      <c r="O100" s="574"/>
      <c r="P100" s="574"/>
      <c r="Q100" s="574"/>
      <c r="R100" s="574"/>
      <c r="S100" s="574"/>
      <c r="T100" s="574"/>
      <c r="U100" s="574"/>
      <c r="V100" s="574"/>
      <c r="W100" s="574"/>
      <c r="X100" s="574"/>
      <c r="Y100" s="574">
        <f t="shared" si="13"/>
        <v>216504</v>
      </c>
      <c r="Z100" s="574">
        <f t="shared" si="10"/>
        <v>728664</v>
      </c>
      <c r="AA100" s="830">
        <f t="shared" si="11"/>
        <v>0</v>
      </c>
      <c r="AB100" s="574">
        <f t="shared" si="12"/>
        <v>0</v>
      </c>
      <c r="AC100" s="575">
        <f t="shared" si="8"/>
        <v>0</v>
      </c>
      <c r="AD100" s="735">
        <f t="shared" si="9"/>
        <v>0</v>
      </c>
      <c r="AE100" s="574">
        <f>(SUMIF(COSTING!$B$10:$B$826,B100,COSTING!$L$10:$L$826))</f>
        <v>130</v>
      </c>
      <c r="AF100" s="1015"/>
    </row>
    <row r="101" spans="2:36">
      <c r="B101" s="572" t="s">
        <v>1184</v>
      </c>
      <c r="C101" s="572" t="s">
        <v>1673</v>
      </c>
      <c r="D101" s="572"/>
      <c r="E101" s="572"/>
      <c r="F101" s="572" t="str">
        <f>VLOOKUP(B101,MasterSheet!$B$6:$N$187,5,)</f>
        <v>1ea</v>
      </c>
      <c r="G101" s="720" t="s">
        <v>1858</v>
      </c>
      <c r="H101" s="573">
        <f>VLOOKUP(B101,MasterSheet!$B$6:$N$187,7,)</f>
        <v>428</v>
      </c>
      <c r="I101" s="694">
        <v>583</v>
      </c>
      <c r="J101" s="575">
        <v>0</v>
      </c>
      <c r="K101" s="575">
        <v>0</v>
      </c>
      <c r="L101" s="574">
        <v>275</v>
      </c>
      <c r="M101" s="574"/>
      <c r="N101" s="574"/>
      <c r="O101" s="574"/>
      <c r="P101" s="574"/>
      <c r="Q101" s="574"/>
      <c r="R101" s="574"/>
      <c r="S101" s="574"/>
      <c r="T101" s="574"/>
      <c r="U101" s="574"/>
      <c r="V101" s="574"/>
      <c r="W101" s="574"/>
      <c r="X101" s="574"/>
      <c r="Y101" s="574">
        <f t="shared" si="13"/>
        <v>131824</v>
      </c>
      <c r="Z101" s="574">
        <f t="shared" si="10"/>
        <v>117700</v>
      </c>
      <c r="AA101" s="830">
        <f t="shared" si="11"/>
        <v>0</v>
      </c>
      <c r="AB101" s="574">
        <f t="shared" si="12"/>
        <v>0</v>
      </c>
      <c r="AC101" s="575">
        <f t="shared" si="8"/>
        <v>0</v>
      </c>
      <c r="AD101" s="735">
        <f t="shared" si="9"/>
        <v>0</v>
      </c>
      <c r="AE101" s="574">
        <f>(SUMIF(COSTING!$B$10:$B$826,B101,COSTING!$L$10:$L$826))</f>
        <v>130</v>
      </c>
      <c r="AF101" s="1015"/>
    </row>
    <row r="102" spans="2:36">
      <c r="B102" s="572" t="s">
        <v>1072</v>
      </c>
      <c r="C102" s="572" t="s">
        <v>1595</v>
      </c>
      <c r="D102" s="572"/>
      <c r="E102" s="572"/>
      <c r="F102" s="572" t="str">
        <f>VLOOKUP(B102,MasterSheet!$B$6:$N$187,5,)</f>
        <v>1ea</v>
      </c>
      <c r="G102" s="720" t="s">
        <v>1858</v>
      </c>
      <c r="H102" s="573">
        <f>VLOOKUP(B102,MasterSheet!$B$6:$N$187,7,)</f>
        <v>1164</v>
      </c>
      <c r="I102" s="694">
        <v>250</v>
      </c>
      <c r="J102" s="575">
        <v>0</v>
      </c>
      <c r="K102" s="575">
        <v>0</v>
      </c>
      <c r="L102" s="574">
        <v>240</v>
      </c>
      <c r="M102" s="574"/>
      <c r="N102" s="574"/>
      <c r="O102" s="574"/>
      <c r="P102" s="574"/>
      <c r="Q102" s="574"/>
      <c r="R102" s="574"/>
      <c r="S102" s="574"/>
      <c r="T102" s="574"/>
      <c r="U102" s="574"/>
      <c r="V102" s="574"/>
      <c r="W102" s="574"/>
      <c r="X102" s="574"/>
      <c r="Y102" s="574">
        <f t="shared" si="13"/>
        <v>11640</v>
      </c>
      <c r="Z102" s="574">
        <f t="shared" si="10"/>
        <v>279360</v>
      </c>
      <c r="AA102" s="830">
        <f t="shared" si="11"/>
        <v>0</v>
      </c>
      <c r="AB102" s="574">
        <f t="shared" si="12"/>
        <v>0</v>
      </c>
      <c r="AC102" s="575">
        <f t="shared" si="8"/>
        <v>0</v>
      </c>
      <c r="AD102" s="735">
        <f t="shared" si="9"/>
        <v>0</v>
      </c>
      <c r="AE102" s="574">
        <f>(SUMIF(COSTING!$B$10:$B$826,B102,COSTING!$L$10:$L$826))</f>
        <v>4</v>
      </c>
      <c r="AF102" s="1015"/>
    </row>
    <row r="103" spans="2:36">
      <c r="B103" s="572" t="s">
        <v>1176</v>
      </c>
      <c r="C103" s="572" t="s">
        <v>1675</v>
      </c>
      <c r="D103" s="572"/>
      <c r="E103" s="572"/>
      <c r="F103" s="572" t="str">
        <f>VLOOKUP(B103,MasterSheet!$B$6:$N$187,5,)</f>
        <v>1ea</v>
      </c>
      <c r="G103" s="720" t="s">
        <v>1858</v>
      </c>
      <c r="H103" s="573">
        <f>VLOOKUP(B103,MasterSheet!$B$6:$N$187,7,)</f>
        <v>428</v>
      </c>
      <c r="I103" s="694">
        <v>204</v>
      </c>
      <c r="J103" s="575">
        <v>0</v>
      </c>
      <c r="K103" s="575">
        <v>0</v>
      </c>
      <c r="L103" s="574">
        <v>204</v>
      </c>
      <c r="M103" s="574"/>
      <c r="N103" s="574"/>
      <c r="O103" s="574"/>
      <c r="P103" s="574"/>
      <c r="Q103" s="574"/>
      <c r="R103" s="574"/>
      <c r="S103" s="574"/>
      <c r="T103" s="574"/>
      <c r="U103" s="574"/>
      <c r="V103" s="574"/>
      <c r="W103" s="574"/>
      <c r="X103" s="574"/>
      <c r="Y103" s="574">
        <f t="shared" si="13"/>
        <v>0</v>
      </c>
      <c r="Z103" s="574">
        <f t="shared" si="10"/>
        <v>87312</v>
      </c>
      <c r="AA103" s="830">
        <f t="shared" si="11"/>
        <v>0</v>
      </c>
      <c r="AB103" s="574">
        <f t="shared" si="12"/>
        <v>0</v>
      </c>
      <c r="AC103" s="575">
        <f t="shared" si="8"/>
        <v>0</v>
      </c>
      <c r="AD103" s="735">
        <f t="shared" si="9"/>
        <v>0</v>
      </c>
      <c r="AE103" s="574">
        <f>(SUMIF(COSTING!$B$10:$B$826,B103,COSTING!$L$10:$L$826))</f>
        <v>4</v>
      </c>
      <c r="AF103" s="1015"/>
    </row>
    <row r="104" spans="2:36">
      <c r="B104" s="572" t="s">
        <v>1150</v>
      </c>
      <c r="C104" s="572" t="s">
        <v>1986</v>
      </c>
      <c r="D104" s="572"/>
      <c r="E104" s="572"/>
      <c r="F104" s="572" t="str">
        <f>VLOOKUP(B104,MasterSheet!$B$6:$N$187,5,)</f>
        <v>1ea</v>
      </c>
      <c r="G104" s="720" t="s">
        <v>1858</v>
      </c>
      <c r="H104" s="573">
        <f>VLOOKUP(B104,MasterSheet!$B$6:$N$187,7,)</f>
        <v>216.45</v>
      </c>
      <c r="I104" s="694">
        <v>7065</v>
      </c>
      <c r="J104" s="575">
        <v>0</v>
      </c>
      <c r="K104" s="575">
        <v>0</v>
      </c>
      <c r="L104" s="574">
        <v>4600</v>
      </c>
      <c r="M104" s="575"/>
      <c r="N104" s="574"/>
      <c r="O104" s="574"/>
      <c r="P104" s="574"/>
      <c r="Q104" s="574"/>
      <c r="R104" s="574"/>
      <c r="S104" s="574"/>
      <c r="T104" s="574"/>
      <c r="U104" s="574"/>
      <c r="V104" s="574"/>
      <c r="W104" s="574"/>
      <c r="X104" s="574"/>
      <c r="Y104" s="574">
        <f t="shared" si="13"/>
        <v>533549.25</v>
      </c>
      <c r="Z104" s="575">
        <f>IFERROR(SUM(L104,N104,M104)-O104,"")*H104</f>
        <v>995670</v>
      </c>
      <c r="AA104" s="830">
        <f t="shared" si="11"/>
        <v>0</v>
      </c>
      <c r="AB104" s="830">
        <f t="shared" si="12"/>
        <v>0</v>
      </c>
      <c r="AC104" s="575">
        <f t="shared" si="8"/>
        <v>0</v>
      </c>
      <c r="AD104" s="575">
        <v>0</v>
      </c>
      <c r="AE104" s="575">
        <v>0</v>
      </c>
      <c r="AF104" s="1015"/>
    </row>
    <row r="105" spans="2:36">
      <c r="B105" s="572" t="s">
        <v>1757</v>
      </c>
      <c r="C105" s="572" t="s">
        <v>1596</v>
      </c>
      <c r="D105" s="572"/>
      <c r="E105" s="572"/>
      <c r="F105" s="572" t="str">
        <f>VLOOKUP(B105,MasterSheet!$B$6:$N$187,5,)</f>
        <v>1ea</v>
      </c>
      <c r="G105" s="720" t="s">
        <v>1858</v>
      </c>
      <c r="H105" s="573">
        <f>VLOOKUP(B105,MasterSheet!$B$6:$N$187,7,)</f>
        <v>200</v>
      </c>
      <c r="I105" s="694">
        <v>980</v>
      </c>
      <c r="J105" s="575">
        <v>0</v>
      </c>
      <c r="K105" s="575">
        <v>0</v>
      </c>
      <c r="L105" s="574">
        <v>850</v>
      </c>
      <c r="M105" s="574"/>
      <c r="N105" s="574"/>
      <c r="O105" s="574"/>
      <c r="P105" s="574"/>
      <c r="Q105" s="574"/>
      <c r="R105" s="574"/>
      <c r="S105" s="574"/>
      <c r="T105" s="574"/>
      <c r="U105" s="574"/>
      <c r="V105" s="574"/>
      <c r="W105" s="574"/>
      <c r="X105" s="574"/>
      <c r="Y105" s="574">
        <f t="shared" si="13"/>
        <v>26000</v>
      </c>
      <c r="Z105" s="574">
        <f t="shared" si="10"/>
        <v>170000</v>
      </c>
      <c r="AA105" s="830">
        <f t="shared" si="11"/>
        <v>0</v>
      </c>
      <c r="AB105" s="574">
        <f t="shared" si="12"/>
        <v>0</v>
      </c>
      <c r="AC105" s="575">
        <f t="shared" ref="AC105:AC141" si="14">IFERROR(SUM(U105,V105,W105)-X105,"")*H105</f>
        <v>0</v>
      </c>
      <c r="AD105" s="575">
        <v>0</v>
      </c>
      <c r="AE105" s="575">
        <v>0</v>
      </c>
      <c r="AF105" s="1015"/>
    </row>
    <row r="106" spans="2:36">
      <c r="B106" s="572" t="s">
        <v>1758</v>
      </c>
      <c r="C106" s="572" t="s">
        <v>1597</v>
      </c>
      <c r="D106" s="572"/>
      <c r="E106" s="572"/>
      <c r="F106" s="572" t="str">
        <f>VLOOKUP(B106,MasterSheet!$B$6:$N$187,5,)</f>
        <v>1ea</v>
      </c>
      <c r="G106" s="720" t="s">
        <v>1858</v>
      </c>
      <c r="H106" s="573">
        <f>VLOOKUP(B106,MasterSheet!$B$6:$N$187,7,)</f>
        <v>150</v>
      </c>
      <c r="I106" s="694">
        <v>0</v>
      </c>
      <c r="J106" s="575">
        <v>0</v>
      </c>
      <c r="K106" s="575">
        <v>0</v>
      </c>
      <c r="L106" s="574">
        <v>0</v>
      </c>
      <c r="M106" s="574"/>
      <c r="N106" s="574"/>
      <c r="O106" s="574"/>
      <c r="P106" s="574"/>
      <c r="Q106" s="574"/>
      <c r="R106" s="574"/>
      <c r="S106" s="574"/>
      <c r="T106" s="574"/>
      <c r="U106" s="574"/>
      <c r="V106" s="574"/>
      <c r="W106" s="574"/>
      <c r="X106" s="574"/>
      <c r="Y106" s="574">
        <f t="shared" si="13"/>
        <v>0</v>
      </c>
      <c r="Z106" s="574">
        <f t="shared" si="10"/>
        <v>0</v>
      </c>
      <c r="AA106" s="830">
        <f t="shared" si="11"/>
        <v>0</v>
      </c>
      <c r="AB106" s="574">
        <f t="shared" si="12"/>
        <v>0</v>
      </c>
      <c r="AC106" s="575">
        <f t="shared" si="14"/>
        <v>0</v>
      </c>
      <c r="AD106" s="575">
        <v>0</v>
      </c>
      <c r="AE106" s="575">
        <v>0</v>
      </c>
      <c r="AF106" s="1015"/>
    </row>
    <row r="107" spans="2:36">
      <c r="B107" s="572" t="s">
        <v>1762</v>
      </c>
      <c r="C107" s="572" t="s">
        <v>1598</v>
      </c>
      <c r="D107" s="572"/>
      <c r="E107" s="572"/>
      <c r="F107" s="572" t="str">
        <f>VLOOKUP(B107,MasterSheet!$B$6:$N$187,5,)</f>
        <v>1ea</v>
      </c>
      <c r="G107" s="720" t="s">
        <v>1858</v>
      </c>
      <c r="H107" s="573">
        <f>VLOOKUP(B107,MasterSheet!$B$6:$N$187,7,)</f>
        <v>11.2</v>
      </c>
      <c r="I107" s="694">
        <v>449</v>
      </c>
      <c r="J107" s="575">
        <v>0</v>
      </c>
      <c r="K107" s="575">
        <v>0</v>
      </c>
      <c r="L107" s="574">
        <v>315</v>
      </c>
      <c r="M107" s="574"/>
      <c r="N107" s="574"/>
      <c r="O107" s="574"/>
      <c r="P107" s="574"/>
      <c r="Q107" s="574"/>
      <c r="R107" s="574"/>
      <c r="S107" s="574"/>
      <c r="T107" s="574"/>
      <c r="U107" s="574"/>
      <c r="V107" s="574"/>
      <c r="W107" s="574"/>
      <c r="X107" s="574"/>
      <c r="Y107" s="574">
        <f t="shared" si="13"/>
        <v>1500.8</v>
      </c>
      <c r="Z107" s="574">
        <f t="shared" si="10"/>
        <v>3528</v>
      </c>
      <c r="AA107" s="574">
        <f t="shared" si="11"/>
        <v>0</v>
      </c>
      <c r="AB107" s="574">
        <f t="shared" si="12"/>
        <v>0</v>
      </c>
      <c r="AC107" s="575">
        <f t="shared" si="14"/>
        <v>0</v>
      </c>
      <c r="AD107" s="575">
        <v>0</v>
      </c>
      <c r="AE107" s="575">
        <v>0</v>
      </c>
      <c r="AF107" s="1015"/>
    </row>
    <row r="108" spans="2:36">
      <c r="B108" s="572" t="s">
        <v>1763</v>
      </c>
      <c r="C108" s="572" t="s">
        <v>1599</v>
      </c>
      <c r="D108" s="572"/>
      <c r="E108" s="572"/>
      <c r="F108" s="572" t="str">
        <f>VLOOKUP(B108,MasterSheet!$B$6:$N$187,5,)</f>
        <v>1ea</v>
      </c>
      <c r="G108" s="720" t="s">
        <v>1858</v>
      </c>
      <c r="H108" s="573">
        <f>VLOOKUP(B108,MasterSheet!$B$6:$N$187,7,)</f>
        <v>35</v>
      </c>
      <c r="I108" s="694">
        <v>0</v>
      </c>
      <c r="J108" s="575">
        <v>0</v>
      </c>
      <c r="K108" s="575">
        <v>0</v>
      </c>
      <c r="L108" s="574">
        <v>0</v>
      </c>
      <c r="M108" s="574"/>
      <c r="N108" s="574"/>
      <c r="O108" s="574"/>
      <c r="P108" s="574"/>
      <c r="Q108" s="574"/>
      <c r="R108" s="574"/>
      <c r="S108" s="574"/>
      <c r="T108" s="574"/>
      <c r="U108" s="574"/>
      <c r="V108" s="574"/>
      <c r="W108" s="574"/>
      <c r="X108" s="574"/>
      <c r="Y108" s="574">
        <f t="shared" si="13"/>
        <v>0</v>
      </c>
      <c r="Z108" s="574">
        <f t="shared" si="10"/>
        <v>0</v>
      </c>
      <c r="AA108" s="574">
        <f t="shared" si="11"/>
        <v>0</v>
      </c>
      <c r="AB108" s="574">
        <f t="shared" si="12"/>
        <v>0</v>
      </c>
      <c r="AC108" s="575">
        <f t="shared" si="14"/>
        <v>0</v>
      </c>
      <c r="AD108" s="575">
        <v>0</v>
      </c>
      <c r="AE108" s="575">
        <v>0</v>
      </c>
      <c r="AF108" s="1015"/>
    </row>
    <row r="109" spans="2:36">
      <c r="B109" s="572" t="s">
        <v>1764</v>
      </c>
      <c r="C109" s="572" t="s">
        <v>1600</v>
      </c>
      <c r="D109" s="572"/>
      <c r="E109" s="572"/>
      <c r="F109" s="572" t="str">
        <f>VLOOKUP(B109,MasterSheet!$B$6:$N$187,5,)</f>
        <v>1ea</v>
      </c>
      <c r="G109" s="720" t="s">
        <v>1858</v>
      </c>
      <c r="H109" s="573">
        <f>VLOOKUP(B109,MasterSheet!$B$6:$N$187,7,)</f>
        <v>2400</v>
      </c>
      <c r="I109" s="694">
        <v>133</v>
      </c>
      <c r="J109" s="575">
        <v>0</v>
      </c>
      <c r="K109" s="575">
        <v>0</v>
      </c>
      <c r="L109" s="574">
        <v>92</v>
      </c>
      <c r="M109" s="574"/>
      <c r="N109" s="574"/>
      <c r="O109" s="574"/>
      <c r="P109" s="574"/>
      <c r="Q109" s="574"/>
      <c r="R109" s="574"/>
      <c r="S109" s="574"/>
      <c r="T109" s="574"/>
      <c r="U109" s="574"/>
      <c r="V109" s="574"/>
      <c r="W109" s="574"/>
      <c r="X109" s="574"/>
      <c r="Y109" s="574">
        <f t="shared" si="13"/>
        <v>98400</v>
      </c>
      <c r="Z109" s="574">
        <f t="shared" si="10"/>
        <v>220800</v>
      </c>
      <c r="AA109" s="574">
        <f t="shared" si="11"/>
        <v>0</v>
      </c>
      <c r="AB109" s="574">
        <f t="shared" si="12"/>
        <v>0</v>
      </c>
      <c r="AC109" s="575">
        <f t="shared" si="14"/>
        <v>0</v>
      </c>
      <c r="AD109" s="575">
        <v>0</v>
      </c>
      <c r="AE109" s="575">
        <v>0</v>
      </c>
      <c r="AF109" s="1015"/>
    </row>
    <row r="110" spans="2:36">
      <c r="B110" s="574"/>
      <c r="C110" s="572"/>
      <c r="D110" s="572"/>
      <c r="E110" s="572"/>
      <c r="F110" s="572"/>
      <c r="G110" s="720"/>
      <c r="H110" s="573"/>
      <c r="I110" s="575"/>
      <c r="J110" s="575"/>
      <c r="K110" s="575"/>
      <c r="L110" s="574"/>
      <c r="M110" s="574"/>
      <c r="N110" s="574"/>
      <c r="O110" s="574"/>
      <c r="P110" s="574"/>
      <c r="Q110" s="574"/>
      <c r="R110" s="574"/>
      <c r="S110" s="574"/>
      <c r="T110" s="574"/>
      <c r="U110" s="574"/>
      <c r="V110" s="574"/>
      <c r="W110" s="574"/>
      <c r="X110" s="574"/>
      <c r="Y110" s="574">
        <f t="shared" si="13"/>
        <v>0</v>
      </c>
      <c r="Z110" s="574">
        <f t="shared" si="10"/>
        <v>0</v>
      </c>
      <c r="AA110" s="574">
        <f t="shared" si="11"/>
        <v>0</v>
      </c>
      <c r="AB110" s="574">
        <f t="shared" si="12"/>
        <v>0</v>
      </c>
      <c r="AC110" s="575">
        <f t="shared" si="14"/>
        <v>0</v>
      </c>
      <c r="AD110" s="575">
        <v>0</v>
      </c>
      <c r="AE110" s="575">
        <v>0</v>
      </c>
      <c r="AF110" s="1015"/>
    </row>
    <row r="111" spans="2:36">
      <c r="B111" s="848" t="s">
        <v>1601</v>
      </c>
      <c r="C111" s="849"/>
      <c r="D111" s="849"/>
      <c r="E111" s="849"/>
      <c r="F111" s="849"/>
      <c r="G111" s="849"/>
      <c r="H111" s="849"/>
      <c r="I111" s="849"/>
      <c r="J111" s="849"/>
      <c r="K111" s="849"/>
      <c r="L111" s="849"/>
      <c r="M111" s="849"/>
      <c r="N111" s="849"/>
      <c r="O111" s="849"/>
      <c r="P111" s="849"/>
      <c r="Q111" s="849"/>
      <c r="R111" s="849"/>
      <c r="S111" s="849"/>
      <c r="T111" s="849"/>
      <c r="U111" s="849"/>
      <c r="V111" s="849"/>
      <c r="W111" s="849"/>
      <c r="X111" s="850"/>
      <c r="Y111" s="585">
        <f>SUM(Y112:Y134)</f>
        <v>2394617.2749999999</v>
      </c>
      <c r="Z111" s="585">
        <f>SUM(Z112:Z134)</f>
        <v>8722554.7550000008</v>
      </c>
      <c r="AA111" s="585">
        <f>SUM(AA112:AA134)</f>
        <v>0</v>
      </c>
      <c r="AB111" s="585">
        <f>SUM(AB112:AB134)</f>
        <v>0</v>
      </c>
      <c r="AC111" s="585">
        <f>SUM(AC112:AC134)</f>
        <v>0</v>
      </c>
      <c r="AD111" s="735">
        <f t="shared" si="9"/>
        <v>0</v>
      </c>
      <c r="AE111" s="585"/>
      <c r="AF111" s="1010">
        <f>Y111/$Y$2</f>
        <v>2.8672560173054185E-2</v>
      </c>
      <c r="AG111" s="1011" t="e">
        <f>Z111/$Z$2</f>
        <v>#DIV/0!</v>
      </c>
      <c r="AH111" s="1012" t="e">
        <f>AA111/$AA$2</f>
        <v>#DIV/0!</v>
      </c>
      <c r="AI111" s="1012" t="e">
        <f>AB111/$AB$2</f>
        <v>#DIV/0!</v>
      </c>
      <c r="AJ111" s="1012" t="e">
        <f>AC111/$AC$2</f>
        <v>#DIV/0!</v>
      </c>
    </row>
    <row r="112" spans="2:36">
      <c r="B112" s="572" t="s">
        <v>1282</v>
      </c>
      <c r="C112" s="831" t="s">
        <v>1602</v>
      </c>
      <c r="D112" s="578"/>
      <c r="E112" s="578"/>
      <c r="F112" s="572" t="str">
        <f>VLOOKUP(B112,MasterSheet!$B$6:$N$187,5,)</f>
        <v>1g</v>
      </c>
      <c r="G112" s="720" t="s">
        <v>1852</v>
      </c>
      <c r="H112" s="573">
        <f>VLOOKUP(B112,MasterSheet!$B$6:$N$187,7,)</f>
        <v>277.5</v>
      </c>
      <c r="I112" s="694">
        <v>0.4</v>
      </c>
      <c r="J112" s="575">
        <v>0</v>
      </c>
      <c r="K112" s="575">
        <v>0</v>
      </c>
      <c r="L112" s="830">
        <v>0.35</v>
      </c>
      <c r="M112" s="574"/>
      <c r="N112" s="574"/>
      <c r="O112" s="574"/>
      <c r="P112" s="574"/>
      <c r="Q112" s="574"/>
      <c r="R112" s="574"/>
      <c r="S112" s="574"/>
      <c r="T112" s="574"/>
      <c r="U112" s="574"/>
      <c r="V112" s="574"/>
      <c r="W112" s="574"/>
      <c r="X112" s="574"/>
      <c r="Y112" s="574">
        <f t="shared" si="13"/>
        <v>13.875000000000012</v>
      </c>
      <c r="Z112" s="574">
        <f t="shared" si="10"/>
        <v>97.125</v>
      </c>
      <c r="AA112" s="830">
        <f t="shared" si="11"/>
        <v>0</v>
      </c>
      <c r="AB112" s="574">
        <f t="shared" si="12"/>
        <v>0</v>
      </c>
      <c r="AC112" s="574">
        <f t="shared" si="14"/>
        <v>0</v>
      </c>
      <c r="AD112" s="735">
        <f t="shared" si="9"/>
        <v>0</v>
      </c>
      <c r="AE112" s="574"/>
      <c r="AF112" s="1015"/>
    </row>
    <row r="113" spans="2:33">
      <c r="B113" s="572" t="s">
        <v>1720</v>
      </c>
      <c r="C113" s="831" t="s">
        <v>1603</v>
      </c>
      <c r="D113" s="578"/>
      <c r="E113" s="578"/>
      <c r="F113" s="572" t="str">
        <f>VLOOKUP(B113,MasterSheet!$B$6:$N$187,5,)</f>
        <v>1ML</v>
      </c>
      <c r="G113" s="720" t="s">
        <v>1859</v>
      </c>
      <c r="H113" s="573">
        <f>VLOOKUP(B113,MasterSheet!$B$6:$N$187,7,)</f>
        <v>162.80000000000001</v>
      </c>
      <c r="I113" s="694">
        <v>1650</v>
      </c>
      <c r="J113" s="575">
        <v>0</v>
      </c>
      <c r="K113" s="575">
        <v>0</v>
      </c>
      <c r="L113" s="574">
        <v>1650</v>
      </c>
      <c r="M113" s="574"/>
      <c r="N113" s="574"/>
      <c r="O113" s="574"/>
      <c r="P113" s="574"/>
      <c r="Q113" s="574"/>
      <c r="R113" s="574"/>
      <c r="S113" s="574"/>
      <c r="T113" s="574"/>
      <c r="U113" s="574"/>
      <c r="V113" s="574"/>
      <c r="W113" s="574"/>
      <c r="X113" s="574"/>
      <c r="Y113" s="575">
        <f t="shared" si="13"/>
        <v>0</v>
      </c>
      <c r="Z113" s="575">
        <f t="shared" si="10"/>
        <v>268620</v>
      </c>
      <c r="AA113" s="830">
        <f t="shared" si="11"/>
        <v>0</v>
      </c>
      <c r="AB113" s="575">
        <f t="shared" si="12"/>
        <v>0</v>
      </c>
      <c r="AC113" s="574">
        <f t="shared" si="14"/>
        <v>0</v>
      </c>
      <c r="AD113" s="735">
        <f t="shared" si="9"/>
        <v>0</v>
      </c>
      <c r="AE113" s="574"/>
      <c r="AF113" s="1015"/>
    </row>
    <row r="114" spans="2:33">
      <c r="B114" s="572" t="s">
        <v>1714</v>
      </c>
      <c r="C114" s="831" t="s">
        <v>1604</v>
      </c>
      <c r="D114" s="572"/>
      <c r="E114" s="572"/>
      <c r="F114" s="572" t="str">
        <f>VLOOKUP(B114,MasterSheet!$B$6:$N$187,5,)</f>
        <v>1ML</v>
      </c>
      <c r="G114" s="720" t="s">
        <v>1859</v>
      </c>
      <c r="H114" s="573">
        <f>VLOOKUP(B114,MasterSheet!$B$6:$N$187,7,)</f>
        <v>156.99</v>
      </c>
      <c r="I114" s="694">
        <v>119</v>
      </c>
      <c r="J114" s="575">
        <v>0</v>
      </c>
      <c r="K114" s="575">
        <v>0</v>
      </c>
      <c r="L114" s="574">
        <v>119</v>
      </c>
      <c r="M114" s="574"/>
      <c r="N114" s="574"/>
      <c r="O114" s="574"/>
      <c r="P114" s="574"/>
      <c r="Q114" s="574"/>
      <c r="R114" s="574"/>
      <c r="S114" s="574"/>
      <c r="T114" s="574"/>
      <c r="U114" s="574"/>
      <c r="V114" s="574"/>
      <c r="W114" s="574"/>
      <c r="X114" s="574"/>
      <c r="Y114" s="575">
        <f t="shared" si="13"/>
        <v>0</v>
      </c>
      <c r="Z114" s="575">
        <f t="shared" si="10"/>
        <v>18681.810000000001</v>
      </c>
      <c r="AA114" s="830">
        <f t="shared" si="11"/>
        <v>0</v>
      </c>
      <c r="AB114" s="575">
        <f t="shared" si="12"/>
        <v>0</v>
      </c>
      <c r="AC114" s="735">
        <f t="shared" si="14"/>
        <v>0</v>
      </c>
      <c r="AD114" s="735">
        <f t="shared" si="9"/>
        <v>0</v>
      </c>
      <c r="AE114" s="574"/>
      <c r="AF114" s="1015"/>
      <c r="AG114" s="1016"/>
    </row>
    <row r="115" spans="2:33">
      <c r="B115" s="572" t="s">
        <v>1715</v>
      </c>
      <c r="C115" s="831" t="s">
        <v>1605</v>
      </c>
      <c r="D115" s="572"/>
      <c r="E115" s="572"/>
      <c r="F115" s="572" t="str">
        <f>VLOOKUP(B115,MasterSheet!$B$6:$N$187,5,)</f>
        <v>1ML</v>
      </c>
      <c r="G115" s="720" t="s">
        <v>1859</v>
      </c>
      <c r="H115" s="573">
        <f>VLOOKUP(B115,MasterSheet!$B$6:$N$187,7,)</f>
        <v>103.6</v>
      </c>
      <c r="I115" s="694">
        <v>5200</v>
      </c>
      <c r="J115" s="575">
        <v>0</v>
      </c>
      <c r="K115" s="575">
        <v>0</v>
      </c>
      <c r="L115" s="574">
        <v>1855</v>
      </c>
      <c r="M115" s="574"/>
      <c r="N115" s="574"/>
      <c r="O115" s="575"/>
      <c r="P115" s="575"/>
      <c r="Q115" s="575"/>
      <c r="R115" s="575"/>
      <c r="S115" s="575"/>
      <c r="T115" s="575"/>
      <c r="U115" s="575"/>
      <c r="V115" s="575"/>
      <c r="W115" s="575"/>
      <c r="X115" s="575"/>
      <c r="Y115" s="575">
        <f t="shared" si="13"/>
        <v>346542</v>
      </c>
      <c r="Z115" s="575">
        <f t="shared" si="10"/>
        <v>192178</v>
      </c>
      <c r="AA115" s="830">
        <f t="shared" si="11"/>
        <v>0</v>
      </c>
      <c r="AB115" s="575">
        <f t="shared" si="12"/>
        <v>0</v>
      </c>
      <c r="AC115" s="574">
        <f t="shared" si="14"/>
        <v>0</v>
      </c>
      <c r="AD115" s="735">
        <f t="shared" si="9"/>
        <v>0</v>
      </c>
      <c r="AE115" s="574"/>
      <c r="AF115" s="1015"/>
    </row>
    <row r="116" spans="2:33">
      <c r="B116" s="572" t="s">
        <v>1716</v>
      </c>
      <c r="C116" s="831" t="s">
        <v>1606</v>
      </c>
      <c r="D116" s="578"/>
      <c r="E116" s="578"/>
      <c r="F116" s="572" t="str">
        <f>VLOOKUP(B116,MasterSheet!$B$6:$N$187,5,)</f>
        <v>1ML</v>
      </c>
      <c r="G116" s="720" t="s">
        <v>1859</v>
      </c>
      <c r="H116" s="573">
        <f>VLOOKUP(B116,MasterSheet!$B$6:$N$187,7,)</f>
        <v>103.6</v>
      </c>
      <c r="I116" s="694">
        <v>9887</v>
      </c>
      <c r="J116" s="575">
        <v>0</v>
      </c>
      <c r="K116" s="575">
        <v>0</v>
      </c>
      <c r="L116" s="574">
        <v>8968</v>
      </c>
      <c r="M116" s="574"/>
      <c r="N116" s="574"/>
      <c r="O116" s="575"/>
      <c r="P116" s="575"/>
      <c r="Q116" s="575"/>
      <c r="R116" s="575"/>
      <c r="S116" s="575"/>
      <c r="T116" s="575"/>
      <c r="U116" s="575"/>
      <c r="V116" s="575"/>
      <c r="W116" s="575"/>
      <c r="X116" s="575"/>
      <c r="Y116" s="575">
        <f t="shared" si="13"/>
        <v>95208.4</v>
      </c>
      <c r="Z116" s="575">
        <f t="shared" si="10"/>
        <v>929084.79999999993</v>
      </c>
      <c r="AA116" s="830">
        <f t="shared" si="11"/>
        <v>0</v>
      </c>
      <c r="AB116" s="575">
        <f t="shared" si="12"/>
        <v>0</v>
      </c>
      <c r="AC116" s="574">
        <f t="shared" si="14"/>
        <v>0</v>
      </c>
      <c r="AD116" s="735">
        <f t="shared" si="9"/>
        <v>0</v>
      </c>
      <c r="AE116" s="574"/>
      <c r="AF116" s="1015"/>
    </row>
    <row r="117" spans="2:33">
      <c r="B117" s="572" t="s">
        <v>1717</v>
      </c>
      <c r="C117" s="831" t="s">
        <v>1607</v>
      </c>
      <c r="D117" s="578"/>
      <c r="E117" s="578"/>
      <c r="F117" s="572" t="str">
        <f>VLOOKUP(B117,MasterSheet!$B$6:$N$187,5,)</f>
        <v>1ML</v>
      </c>
      <c r="G117" s="720" t="s">
        <v>1859</v>
      </c>
      <c r="H117" s="573">
        <f>VLOOKUP(B117,MasterSheet!$B$6:$N$187,7,)</f>
        <v>103.6</v>
      </c>
      <c r="I117" s="694">
        <v>8889</v>
      </c>
      <c r="J117" s="575">
        <v>0</v>
      </c>
      <c r="K117" s="575">
        <v>0</v>
      </c>
      <c r="L117" s="574">
        <v>7662</v>
      </c>
      <c r="M117" s="574"/>
      <c r="N117" s="574"/>
      <c r="O117" s="575"/>
      <c r="P117" s="575"/>
      <c r="Q117" s="575"/>
      <c r="R117" s="575"/>
      <c r="S117" s="575"/>
      <c r="T117" s="575"/>
      <c r="U117" s="575"/>
      <c r="V117" s="575"/>
      <c r="W117" s="575"/>
      <c r="X117" s="575"/>
      <c r="Y117" s="575">
        <f t="shared" si="13"/>
        <v>127117.2</v>
      </c>
      <c r="Z117" s="575">
        <f t="shared" si="10"/>
        <v>793783.2</v>
      </c>
      <c r="AA117" s="830">
        <f t="shared" si="11"/>
        <v>0</v>
      </c>
      <c r="AB117" s="575">
        <f t="shared" si="12"/>
        <v>0</v>
      </c>
      <c r="AC117" s="574">
        <f t="shared" si="14"/>
        <v>0</v>
      </c>
      <c r="AD117" s="735">
        <f t="shared" si="9"/>
        <v>0</v>
      </c>
      <c r="AE117" s="574"/>
      <c r="AF117" s="1015"/>
    </row>
    <row r="118" spans="2:33">
      <c r="B118" s="572" t="s">
        <v>1718</v>
      </c>
      <c r="C118" s="831" t="s">
        <v>1608</v>
      </c>
      <c r="D118" s="578"/>
      <c r="E118" s="578"/>
      <c r="F118" s="572" t="str">
        <f>VLOOKUP(B118,MasterSheet!$B$6:$N$187,5,)</f>
        <v>1ML</v>
      </c>
      <c r="G118" s="720" t="s">
        <v>1859</v>
      </c>
      <c r="H118" s="573">
        <f>VLOOKUP(B118,MasterSheet!$B$6:$N$187,7,)</f>
        <v>156.99</v>
      </c>
      <c r="I118" s="694">
        <v>812</v>
      </c>
      <c r="J118" s="575">
        <v>0</v>
      </c>
      <c r="K118" s="575">
        <v>0</v>
      </c>
      <c r="L118" s="574">
        <v>542</v>
      </c>
      <c r="M118" s="574"/>
      <c r="N118" s="574"/>
      <c r="O118" s="575"/>
      <c r="P118" s="575"/>
      <c r="Q118" s="575"/>
      <c r="R118" s="575"/>
      <c r="S118" s="575"/>
      <c r="T118" s="575"/>
      <c r="U118" s="575"/>
      <c r="V118" s="575"/>
      <c r="W118" s="575"/>
      <c r="X118" s="575"/>
      <c r="Y118" s="575">
        <f t="shared" si="13"/>
        <v>42387.3</v>
      </c>
      <c r="Z118" s="575">
        <f t="shared" si="10"/>
        <v>85088.58</v>
      </c>
      <c r="AA118" s="830">
        <f t="shared" si="11"/>
        <v>0</v>
      </c>
      <c r="AB118" s="575">
        <f t="shared" si="12"/>
        <v>0</v>
      </c>
      <c r="AC118" s="574">
        <f t="shared" si="14"/>
        <v>0</v>
      </c>
      <c r="AD118" s="735">
        <f t="shared" si="9"/>
        <v>0</v>
      </c>
      <c r="AE118" s="574"/>
      <c r="AF118" s="1015"/>
    </row>
    <row r="119" spans="2:33">
      <c r="B119" s="572" t="s">
        <v>1719</v>
      </c>
      <c r="C119" s="831" t="s">
        <v>1609</v>
      </c>
      <c r="D119" s="578"/>
      <c r="E119" s="578"/>
      <c r="F119" s="572" t="str">
        <f>VLOOKUP(B119,MasterSheet!$B$6:$N$187,5,)</f>
        <v>1ML</v>
      </c>
      <c r="G119" s="720" t="s">
        <v>1859</v>
      </c>
      <c r="H119" s="573">
        <f>VLOOKUP(B119,MasterSheet!$B$6:$N$187,7,)</f>
        <v>103.6</v>
      </c>
      <c r="I119" s="694">
        <v>2350</v>
      </c>
      <c r="J119" s="575">
        <v>0</v>
      </c>
      <c r="K119" s="575">
        <v>0</v>
      </c>
      <c r="L119" s="574">
        <v>1913</v>
      </c>
      <c r="M119" s="574"/>
      <c r="N119" s="574"/>
      <c r="O119" s="575"/>
      <c r="P119" s="575"/>
      <c r="Q119" s="575"/>
      <c r="R119" s="575"/>
      <c r="S119" s="575"/>
      <c r="T119" s="575"/>
      <c r="U119" s="575"/>
      <c r="V119" s="575"/>
      <c r="W119" s="575"/>
      <c r="X119" s="575"/>
      <c r="Y119" s="575">
        <f t="shared" si="13"/>
        <v>45273.2</v>
      </c>
      <c r="Z119" s="575">
        <f t="shared" si="10"/>
        <v>198186.8</v>
      </c>
      <c r="AA119" s="830">
        <f t="shared" si="11"/>
        <v>0</v>
      </c>
      <c r="AB119" s="575">
        <f t="shared" si="12"/>
        <v>0</v>
      </c>
      <c r="AC119" s="574">
        <f t="shared" si="14"/>
        <v>0</v>
      </c>
      <c r="AD119" s="735">
        <f t="shared" si="9"/>
        <v>0</v>
      </c>
      <c r="AE119" s="574"/>
      <c r="AF119" s="1015"/>
    </row>
    <row r="120" spans="2:33">
      <c r="B120" s="572" t="s">
        <v>1695</v>
      </c>
      <c r="C120" s="831" t="s">
        <v>1610</v>
      </c>
      <c r="D120" s="578"/>
      <c r="E120" s="578"/>
      <c r="F120" s="572" t="str">
        <f>VLOOKUP(B120,MasterSheet!$B$6:$N$187,5,)</f>
        <v>1L</v>
      </c>
      <c r="G120" s="720" t="s">
        <v>1857</v>
      </c>
      <c r="H120" s="573">
        <f>VLOOKUP(B120,MasterSheet!$B$6:$N$187,7,)</f>
        <v>68820</v>
      </c>
      <c r="I120" s="694">
        <v>3.36</v>
      </c>
      <c r="J120" s="575">
        <v>0</v>
      </c>
      <c r="K120" s="575">
        <v>5</v>
      </c>
      <c r="L120" s="574">
        <v>4.3</v>
      </c>
      <c r="M120" s="574"/>
      <c r="N120" s="574"/>
      <c r="O120" s="575"/>
      <c r="P120" s="575"/>
      <c r="Q120" s="575"/>
      <c r="R120" s="575"/>
      <c r="S120" s="575"/>
      <c r="T120" s="575"/>
      <c r="U120" s="575"/>
      <c r="V120" s="575"/>
      <c r="W120" s="575"/>
      <c r="X120" s="575"/>
      <c r="Y120" s="575">
        <f t="shared" si="13"/>
        <v>279409.19999999995</v>
      </c>
      <c r="Z120" s="575">
        <f t="shared" si="10"/>
        <v>295926</v>
      </c>
      <c r="AA120" s="830">
        <f t="shared" si="11"/>
        <v>0</v>
      </c>
      <c r="AB120" s="575">
        <f t="shared" si="12"/>
        <v>0</v>
      </c>
      <c r="AC120" s="735">
        <f t="shared" si="14"/>
        <v>0</v>
      </c>
      <c r="AD120" s="735">
        <f t="shared" si="9"/>
        <v>0</v>
      </c>
      <c r="AE120" s="574"/>
      <c r="AF120" s="1015"/>
    </row>
    <row r="121" spans="2:33">
      <c r="B121" s="572" t="s">
        <v>660</v>
      </c>
      <c r="C121" s="831" t="s">
        <v>1611</v>
      </c>
      <c r="D121" s="578"/>
      <c r="E121" s="578"/>
      <c r="F121" s="572" t="str">
        <f>VLOOKUP(B121,MasterSheet!$B$6:$N$187,5,)</f>
        <v>10L</v>
      </c>
      <c r="G121" s="720" t="s">
        <v>1852</v>
      </c>
      <c r="H121" s="573">
        <f>VLOOKUP(B121,MasterSheet!$B$6:$N$187,7,)</f>
        <v>700000</v>
      </c>
      <c r="I121" s="694">
        <v>2.8</v>
      </c>
      <c r="J121" s="575">
        <v>0</v>
      </c>
      <c r="K121" s="575">
        <v>0</v>
      </c>
      <c r="L121" s="574">
        <v>2.2000000000000002</v>
      </c>
      <c r="M121" s="574"/>
      <c r="N121" s="574"/>
      <c r="O121" s="575"/>
      <c r="P121" s="575"/>
      <c r="Q121" s="575"/>
      <c r="R121" s="575"/>
      <c r="S121" s="575"/>
      <c r="T121" s="575"/>
      <c r="U121" s="575"/>
      <c r="V121" s="575"/>
      <c r="W121" s="575"/>
      <c r="X121" s="575"/>
      <c r="Y121" s="575">
        <f t="shared" si="13"/>
        <v>419999.99999999977</v>
      </c>
      <c r="Z121" s="575">
        <f t="shared" si="10"/>
        <v>1540000.0000000002</v>
      </c>
      <c r="AA121" s="830">
        <f t="shared" si="11"/>
        <v>0</v>
      </c>
      <c r="AB121" s="575">
        <f t="shared" si="12"/>
        <v>0</v>
      </c>
      <c r="AC121" s="574">
        <f t="shared" si="14"/>
        <v>0</v>
      </c>
      <c r="AD121" s="735">
        <f t="shared" si="9"/>
        <v>0</v>
      </c>
      <c r="AE121" s="574"/>
      <c r="AF121" s="1015"/>
    </row>
    <row r="122" spans="2:33">
      <c r="B122" s="572" t="s">
        <v>1731</v>
      </c>
      <c r="C122" s="831" t="s">
        <v>1612</v>
      </c>
      <c r="D122" s="578"/>
      <c r="E122" s="578"/>
      <c r="F122" s="572" t="str">
        <f>VLOOKUP(B122,MasterSheet!$B$6:$N$187,5,)</f>
        <v>1can</v>
      </c>
      <c r="G122" s="720" t="s">
        <v>1860</v>
      </c>
      <c r="H122" s="573">
        <f>VLOOKUP(B122,MasterSheet!$B$6:$N$187,7,)</f>
        <v>4647.92</v>
      </c>
      <c r="I122" s="694">
        <v>44</v>
      </c>
      <c r="J122" s="575">
        <v>0</v>
      </c>
      <c r="K122" s="575">
        <v>0</v>
      </c>
      <c r="L122" s="574">
        <v>37</v>
      </c>
      <c r="M122" s="574"/>
      <c r="N122" s="574"/>
      <c r="O122" s="575"/>
      <c r="P122" s="575"/>
      <c r="Q122" s="575"/>
      <c r="R122" s="575"/>
      <c r="S122" s="575"/>
      <c r="T122" s="575"/>
      <c r="U122" s="575"/>
      <c r="V122" s="575"/>
      <c r="W122" s="575"/>
      <c r="X122" s="575"/>
      <c r="Y122" s="575">
        <f t="shared" si="13"/>
        <v>32535.440000000002</v>
      </c>
      <c r="Z122" s="575">
        <f t="shared" si="10"/>
        <v>171973.04</v>
      </c>
      <c r="AA122" s="830">
        <f t="shared" si="11"/>
        <v>0</v>
      </c>
      <c r="AB122" s="575">
        <f t="shared" si="12"/>
        <v>0</v>
      </c>
      <c r="AC122" s="574">
        <f t="shared" si="14"/>
        <v>0</v>
      </c>
      <c r="AD122" s="735">
        <f t="shared" si="9"/>
        <v>0</v>
      </c>
      <c r="AE122" s="574"/>
      <c r="AF122" s="1015"/>
    </row>
    <row r="123" spans="2:33">
      <c r="B123" s="572" t="s">
        <v>660</v>
      </c>
      <c r="C123" s="831" t="s">
        <v>1613</v>
      </c>
      <c r="D123" s="578"/>
      <c r="E123" s="578"/>
      <c r="F123" s="572" t="str">
        <f>VLOOKUP(B123,MasterSheet!$B$6:$N$187,5,)</f>
        <v>10L</v>
      </c>
      <c r="G123" s="720" t="s">
        <v>1852</v>
      </c>
      <c r="H123" s="573">
        <f>VLOOKUP(B123,MasterSheet!$B$6:$N$187,7,)</f>
        <v>700000</v>
      </c>
      <c r="I123" s="694">
        <v>1.7</v>
      </c>
      <c r="J123" s="575">
        <v>0</v>
      </c>
      <c r="K123" s="575">
        <v>0</v>
      </c>
      <c r="L123" s="575">
        <v>1.7</v>
      </c>
      <c r="M123" s="574"/>
      <c r="N123" s="574"/>
      <c r="O123" s="575"/>
      <c r="P123" s="575"/>
      <c r="Q123" s="575"/>
      <c r="R123" s="575"/>
      <c r="S123" s="575"/>
      <c r="T123" s="575"/>
      <c r="U123" s="575"/>
      <c r="V123" s="575"/>
      <c r="W123" s="575"/>
      <c r="X123" s="575"/>
      <c r="Y123" s="575">
        <f t="shared" si="13"/>
        <v>0</v>
      </c>
      <c r="Z123" s="575">
        <f t="shared" si="10"/>
        <v>1190000</v>
      </c>
      <c r="AA123" s="830">
        <f t="shared" si="11"/>
        <v>0</v>
      </c>
      <c r="AB123" s="575">
        <f t="shared" si="12"/>
        <v>0</v>
      </c>
      <c r="AC123" s="574">
        <f t="shared" si="14"/>
        <v>0</v>
      </c>
      <c r="AD123" s="735">
        <f t="shared" si="9"/>
        <v>0</v>
      </c>
      <c r="AE123" s="574"/>
      <c r="AF123" s="1015"/>
    </row>
    <row r="124" spans="2:33">
      <c r="B124" s="572" t="s">
        <v>1731</v>
      </c>
      <c r="C124" s="831" t="s">
        <v>1614</v>
      </c>
      <c r="D124" s="578"/>
      <c r="E124" s="572"/>
      <c r="F124" s="572" t="str">
        <f>VLOOKUP(B124,MasterSheet!$B$6:$N$187,5,)</f>
        <v>1can</v>
      </c>
      <c r="G124" s="720" t="s">
        <v>1860</v>
      </c>
      <c r="H124" s="573">
        <f>VLOOKUP(B124,MasterSheet!$B$6:$N$187,7,)</f>
        <v>4647.92</v>
      </c>
      <c r="I124" s="694">
        <v>42</v>
      </c>
      <c r="J124" s="575">
        <v>0</v>
      </c>
      <c r="K124" s="575">
        <v>0</v>
      </c>
      <c r="L124" s="574">
        <v>40</v>
      </c>
      <c r="M124" s="574"/>
      <c r="N124" s="574"/>
      <c r="O124" s="575"/>
      <c r="P124" s="575"/>
      <c r="Q124" s="575"/>
      <c r="R124" s="575"/>
      <c r="S124" s="575"/>
      <c r="T124" s="575"/>
      <c r="U124" s="575"/>
      <c r="V124" s="575"/>
      <c r="W124" s="575"/>
      <c r="X124" s="575"/>
      <c r="Y124" s="575">
        <f t="shared" si="13"/>
        <v>9295.84</v>
      </c>
      <c r="Z124" s="575">
        <f t="shared" si="10"/>
        <v>185916.79999999999</v>
      </c>
      <c r="AA124" s="830">
        <f t="shared" si="11"/>
        <v>0</v>
      </c>
      <c r="AB124" s="575">
        <f t="shared" si="12"/>
        <v>0</v>
      </c>
      <c r="AC124" s="574">
        <f t="shared" si="14"/>
        <v>0</v>
      </c>
      <c r="AD124" s="735">
        <f t="shared" si="9"/>
        <v>0</v>
      </c>
      <c r="AE124" s="574"/>
      <c r="AF124" s="1015"/>
    </row>
    <row r="125" spans="2:33">
      <c r="B125" s="572"/>
      <c r="C125" s="831" t="s">
        <v>1615</v>
      </c>
      <c r="D125" s="578"/>
      <c r="E125" s="572"/>
      <c r="F125" s="572"/>
      <c r="G125" s="720"/>
      <c r="H125" s="573"/>
      <c r="I125" s="694">
        <v>0</v>
      </c>
      <c r="J125" s="575">
        <v>0</v>
      </c>
      <c r="K125" s="575">
        <v>0</v>
      </c>
      <c r="L125" s="574">
        <v>0</v>
      </c>
      <c r="M125" s="574"/>
      <c r="N125" s="574"/>
      <c r="O125" s="575"/>
      <c r="P125" s="575"/>
      <c r="Q125" s="575"/>
      <c r="R125" s="575"/>
      <c r="S125" s="575"/>
      <c r="T125" s="575"/>
      <c r="U125" s="575"/>
      <c r="V125" s="575"/>
      <c r="W125" s="575"/>
      <c r="X125" s="575"/>
      <c r="Y125" s="575">
        <f t="shared" si="13"/>
        <v>0</v>
      </c>
      <c r="Z125" s="575">
        <f t="shared" si="10"/>
        <v>0</v>
      </c>
      <c r="AA125" s="830">
        <f t="shared" si="11"/>
        <v>0</v>
      </c>
      <c r="AB125" s="575">
        <f t="shared" si="12"/>
        <v>0</v>
      </c>
      <c r="AC125" s="574">
        <f t="shared" si="14"/>
        <v>0</v>
      </c>
      <c r="AD125" s="735">
        <f t="shared" si="9"/>
        <v>0</v>
      </c>
      <c r="AE125" s="574"/>
      <c r="AF125" s="1015"/>
    </row>
    <row r="126" spans="2:33">
      <c r="B126" s="572" t="s">
        <v>1745</v>
      </c>
      <c r="C126" s="831" t="s">
        <v>1616</v>
      </c>
      <c r="D126" s="578"/>
      <c r="E126" s="578"/>
      <c r="F126" s="572" t="str">
        <f>VLOOKUP(B126,MasterSheet!$B$6:$N$187,5,)</f>
        <v>1ea</v>
      </c>
      <c r="G126" s="720" t="s">
        <v>1858</v>
      </c>
      <c r="H126" s="573">
        <f>VLOOKUP(B126,MasterSheet!$B$6:$N$187,7,)</f>
        <v>1958.33</v>
      </c>
      <c r="I126" s="694">
        <v>274</v>
      </c>
      <c r="J126" s="575">
        <v>0</v>
      </c>
      <c r="K126" s="575">
        <v>0</v>
      </c>
      <c r="L126" s="574">
        <v>92</v>
      </c>
      <c r="M126" s="574"/>
      <c r="N126" s="574"/>
      <c r="O126" s="575"/>
      <c r="P126" s="575"/>
      <c r="Q126" s="575"/>
      <c r="R126" s="575"/>
      <c r="S126" s="575"/>
      <c r="T126" s="575"/>
      <c r="U126" s="575"/>
      <c r="V126" s="575"/>
      <c r="W126" s="575"/>
      <c r="X126" s="575"/>
      <c r="Y126" s="575">
        <f t="shared" si="13"/>
        <v>356416.06</v>
      </c>
      <c r="Z126" s="575">
        <f t="shared" si="10"/>
        <v>180166.36</v>
      </c>
      <c r="AA126" s="830">
        <f t="shared" si="11"/>
        <v>0</v>
      </c>
      <c r="AB126" s="575">
        <f t="shared" si="12"/>
        <v>0</v>
      </c>
      <c r="AC126" s="574">
        <f t="shared" si="14"/>
        <v>0</v>
      </c>
      <c r="AD126" s="735">
        <f t="shared" si="9"/>
        <v>0</v>
      </c>
      <c r="AE126" s="574"/>
      <c r="AF126" s="1015"/>
    </row>
    <row r="127" spans="2:33">
      <c r="B127" s="572" t="s">
        <v>1747</v>
      </c>
      <c r="C127" s="831" t="s">
        <v>1617</v>
      </c>
      <c r="D127" s="578"/>
      <c r="E127" s="578"/>
      <c r="F127" s="572" t="str">
        <f>VLOOKUP(B127,MasterSheet!$B$6:$N$187,5,)</f>
        <v>120g</v>
      </c>
      <c r="G127" s="720" t="s">
        <v>1851</v>
      </c>
      <c r="H127" s="573">
        <f>VLOOKUP(B127,MasterSheet!$B$6:$N$187,7,)</f>
        <v>45000</v>
      </c>
      <c r="I127" s="694">
        <v>0</v>
      </c>
      <c r="J127" s="575">
        <v>0</v>
      </c>
      <c r="K127" s="575">
        <v>0</v>
      </c>
      <c r="L127" s="574">
        <v>0</v>
      </c>
      <c r="M127" s="574"/>
      <c r="N127" s="574"/>
      <c r="O127" s="575"/>
      <c r="P127" s="575"/>
      <c r="Q127" s="575"/>
      <c r="R127" s="575"/>
      <c r="S127" s="575"/>
      <c r="T127" s="575"/>
      <c r="U127" s="575"/>
      <c r="V127" s="575"/>
      <c r="W127" s="575"/>
      <c r="X127" s="575"/>
      <c r="Y127" s="575">
        <f t="shared" si="13"/>
        <v>0</v>
      </c>
      <c r="Z127" s="575">
        <f t="shared" si="10"/>
        <v>0</v>
      </c>
      <c r="AA127" s="830">
        <f t="shared" si="11"/>
        <v>0</v>
      </c>
      <c r="AB127" s="575">
        <f t="shared" si="12"/>
        <v>0</v>
      </c>
      <c r="AC127" s="574">
        <f t="shared" si="14"/>
        <v>0</v>
      </c>
      <c r="AD127" s="735">
        <f t="shared" si="9"/>
        <v>0</v>
      </c>
      <c r="AE127" s="574"/>
      <c r="AF127" s="1015"/>
    </row>
    <row r="128" spans="2:33">
      <c r="B128" s="572" t="s">
        <v>1751</v>
      </c>
      <c r="C128" s="831" t="s">
        <v>1618</v>
      </c>
      <c r="D128" s="578"/>
      <c r="E128" s="578"/>
      <c r="F128" s="572" t="str">
        <f>VLOOKUP(B128,MasterSheet!$B$6:$N$187,5,)</f>
        <v>500g</v>
      </c>
      <c r="G128" s="720" t="s">
        <v>1851</v>
      </c>
      <c r="H128" s="573">
        <f>VLOOKUP(B128,MasterSheet!$B$6:$N$187,7,)</f>
        <v>60300</v>
      </c>
      <c r="I128" s="694">
        <v>0</v>
      </c>
      <c r="J128" s="575">
        <v>0</v>
      </c>
      <c r="K128" s="575">
        <v>0</v>
      </c>
      <c r="L128" s="574">
        <v>0</v>
      </c>
      <c r="M128" s="574"/>
      <c r="N128" s="574"/>
      <c r="O128" s="575"/>
      <c r="P128" s="575"/>
      <c r="Q128" s="575"/>
      <c r="R128" s="575"/>
      <c r="S128" s="575"/>
      <c r="T128" s="575"/>
      <c r="U128" s="575"/>
      <c r="V128" s="575"/>
      <c r="W128" s="575"/>
      <c r="X128" s="575"/>
      <c r="Y128" s="575">
        <f t="shared" si="13"/>
        <v>0</v>
      </c>
      <c r="Z128" s="575">
        <f t="shared" si="10"/>
        <v>0</v>
      </c>
      <c r="AA128" s="830">
        <f t="shared" si="11"/>
        <v>0</v>
      </c>
      <c r="AB128" s="575">
        <f t="shared" si="12"/>
        <v>0</v>
      </c>
      <c r="AC128" s="574">
        <f t="shared" si="14"/>
        <v>0</v>
      </c>
      <c r="AD128" s="735">
        <f t="shared" si="9"/>
        <v>0</v>
      </c>
      <c r="AE128" s="574"/>
      <c r="AF128" s="1015"/>
    </row>
    <row r="129" spans="2:35">
      <c r="B129" s="572" t="s">
        <v>1760</v>
      </c>
      <c r="C129" s="831" t="s">
        <v>1619</v>
      </c>
      <c r="D129" s="578"/>
      <c r="E129" s="578"/>
      <c r="F129" s="572" t="str">
        <f>VLOOKUP(B129,MasterSheet!$B$6:$N$187,5,)</f>
        <v>1kg</v>
      </c>
      <c r="G129" s="720" t="s">
        <v>1851</v>
      </c>
      <c r="H129" s="573">
        <f>VLOOKUP(B129,MasterSheet!$B$6:$N$187,7,)</f>
        <v>138750</v>
      </c>
      <c r="I129" s="694">
        <v>9</v>
      </c>
      <c r="J129" s="575">
        <v>0</v>
      </c>
      <c r="K129" s="575">
        <v>0</v>
      </c>
      <c r="L129" s="574">
        <v>7</v>
      </c>
      <c r="M129" s="574"/>
      <c r="N129" s="574"/>
      <c r="O129" s="575"/>
      <c r="P129" s="575"/>
      <c r="Q129" s="575"/>
      <c r="R129" s="575"/>
      <c r="S129" s="575"/>
      <c r="T129" s="575"/>
      <c r="U129" s="575"/>
      <c r="V129" s="575"/>
      <c r="W129" s="575"/>
      <c r="X129" s="575"/>
      <c r="Y129" s="575">
        <f t="shared" si="13"/>
        <v>277500</v>
      </c>
      <c r="Z129" s="575">
        <f t="shared" si="10"/>
        <v>971250</v>
      </c>
      <c r="AA129" s="830">
        <f t="shared" si="11"/>
        <v>0</v>
      </c>
      <c r="AB129" s="575">
        <f t="shared" si="12"/>
        <v>0</v>
      </c>
      <c r="AC129" s="574">
        <f t="shared" si="14"/>
        <v>0</v>
      </c>
      <c r="AD129" s="735">
        <f t="shared" si="9"/>
        <v>0</v>
      </c>
      <c r="AE129" s="574"/>
      <c r="AF129" s="1015"/>
    </row>
    <row r="130" spans="2:35">
      <c r="B130" s="572" t="s">
        <v>1761</v>
      </c>
      <c r="C130" s="831" t="s">
        <v>1620</v>
      </c>
      <c r="D130" s="578"/>
      <c r="E130" s="578"/>
      <c r="F130" s="572" t="str">
        <f>VLOOKUP(B130,MasterSheet!$B$6:$N$187,5,)</f>
        <v xml:space="preserve">1kg </v>
      </c>
      <c r="G130" s="720" t="s">
        <v>1851</v>
      </c>
      <c r="H130" s="573">
        <f>VLOOKUP(B130,MasterSheet!$B$6:$N$187,7,)</f>
        <v>138750</v>
      </c>
      <c r="I130" s="694">
        <v>7.5</v>
      </c>
      <c r="J130" s="575">
        <v>0</v>
      </c>
      <c r="K130" s="575">
        <v>0</v>
      </c>
      <c r="L130" s="574">
        <v>5.43</v>
      </c>
      <c r="M130" s="574"/>
      <c r="N130" s="574"/>
      <c r="O130" s="575"/>
      <c r="P130" s="575"/>
      <c r="Q130" s="575"/>
      <c r="R130" s="575"/>
      <c r="S130" s="575"/>
      <c r="T130" s="575"/>
      <c r="U130" s="575"/>
      <c r="V130" s="575"/>
      <c r="W130" s="575"/>
      <c r="X130" s="575"/>
      <c r="Y130" s="575">
        <f t="shared" si="13"/>
        <v>287212.50000000006</v>
      </c>
      <c r="Z130" s="575">
        <f t="shared" si="10"/>
        <v>753412.5</v>
      </c>
      <c r="AA130" s="830">
        <f t="shared" si="11"/>
        <v>0</v>
      </c>
      <c r="AB130" s="575">
        <f t="shared" si="12"/>
        <v>0</v>
      </c>
      <c r="AC130" s="574">
        <f t="shared" si="14"/>
        <v>0</v>
      </c>
      <c r="AD130" s="735">
        <f t="shared" si="9"/>
        <v>0</v>
      </c>
      <c r="AE130" s="574"/>
      <c r="AF130" s="1015"/>
    </row>
    <row r="131" spans="2:35">
      <c r="B131" s="572" t="s">
        <v>660</v>
      </c>
      <c r="C131" s="831" t="s">
        <v>1621</v>
      </c>
      <c r="D131" s="578"/>
      <c r="E131" s="578"/>
      <c r="F131" s="572" t="str">
        <f>VLOOKUP(B131,MasterSheet!$B$6:$N$187,5,)</f>
        <v>10L</v>
      </c>
      <c r="G131" s="720" t="s">
        <v>1852</v>
      </c>
      <c r="H131" s="573">
        <f>VLOOKUP(B131,MasterSheet!$B$6:$N$187,7,)</f>
        <v>700000</v>
      </c>
      <c r="I131" s="694">
        <v>1</v>
      </c>
      <c r="J131" s="575">
        <v>0</v>
      </c>
      <c r="K131" s="575">
        <v>0</v>
      </c>
      <c r="L131" s="574">
        <v>1</v>
      </c>
      <c r="M131" s="574"/>
      <c r="N131" s="574"/>
      <c r="O131" s="574"/>
      <c r="P131" s="574"/>
      <c r="Q131" s="574"/>
      <c r="R131" s="574"/>
      <c r="S131" s="574"/>
      <c r="T131" s="574"/>
      <c r="U131" s="574"/>
      <c r="V131" s="574"/>
      <c r="W131" s="574"/>
      <c r="X131" s="574"/>
      <c r="Y131" s="574">
        <f t="shared" si="13"/>
        <v>0</v>
      </c>
      <c r="Z131" s="574">
        <f t="shared" si="10"/>
        <v>700000</v>
      </c>
      <c r="AA131" s="830">
        <f t="shared" si="11"/>
        <v>0</v>
      </c>
      <c r="AB131" s="575">
        <f t="shared" si="12"/>
        <v>0</v>
      </c>
      <c r="AC131" s="735">
        <f t="shared" si="14"/>
        <v>0</v>
      </c>
      <c r="AD131" s="735">
        <f t="shared" si="9"/>
        <v>0</v>
      </c>
      <c r="AE131" s="574"/>
      <c r="AF131" s="1015"/>
    </row>
    <row r="132" spans="2:35">
      <c r="B132" s="572" t="s">
        <v>1731</v>
      </c>
      <c r="C132" s="831" t="s">
        <v>1622</v>
      </c>
      <c r="D132" s="578"/>
      <c r="E132" s="578"/>
      <c r="F132" s="572" t="str">
        <f>VLOOKUP(B132,MasterSheet!$B$6:$N$187,5,)</f>
        <v>1can</v>
      </c>
      <c r="G132" s="720" t="s">
        <v>1860</v>
      </c>
      <c r="H132" s="573">
        <f>VLOOKUP(B132,MasterSheet!$B$6:$N$187,7,)</f>
        <v>4647.92</v>
      </c>
      <c r="I132" s="694">
        <v>50</v>
      </c>
      <c r="J132" s="575">
        <v>0</v>
      </c>
      <c r="K132" s="575">
        <v>0</v>
      </c>
      <c r="L132" s="574">
        <v>47</v>
      </c>
      <c r="M132" s="574"/>
      <c r="N132" s="574"/>
      <c r="O132" s="574"/>
      <c r="P132" s="574"/>
      <c r="Q132" s="574"/>
      <c r="R132" s="574"/>
      <c r="S132" s="574"/>
      <c r="T132" s="574"/>
      <c r="U132" s="574"/>
      <c r="V132" s="574"/>
      <c r="W132" s="574"/>
      <c r="X132" s="574"/>
      <c r="Y132" s="574">
        <f t="shared" si="13"/>
        <v>13943.76</v>
      </c>
      <c r="Z132" s="574">
        <f t="shared" si="10"/>
        <v>218452.24</v>
      </c>
      <c r="AA132" s="830">
        <f t="shared" si="11"/>
        <v>0</v>
      </c>
      <c r="AB132" s="575">
        <f t="shared" si="12"/>
        <v>0</v>
      </c>
      <c r="AC132" s="574">
        <f t="shared" si="14"/>
        <v>0</v>
      </c>
      <c r="AD132" s="735">
        <f t="shared" si="9"/>
        <v>0</v>
      </c>
      <c r="AE132" s="574"/>
      <c r="AF132" s="1015"/>
    </row>
    <row r="133" spans="2:35">
      <c r="B133" s="572" t="s">
        <v>1765</v>
      </c>
      <c r="C133" s="831" t="s">
        <v>1623</v>
      </c>
      <c r="D133" s="578"/>
      <c r="E133" s="578"/>
      <c r="F133" s="572" t="str">
        <f>VLOOKUP(B133,MasterSheet!$B$6:$N$187,5,)</f>
        <v>65ml</v>
      </c>
      <c r="G133" s="720" t="s">
        <v>1855</v>
      </c>
      <c r="H133" s="573">
        <f>VLOOKUP(B133,MasterSheet!$B$6:$N$187,7,)</f>
        <v>2287.5</v>
      </c>
      <c r="I133" s="694">
        <v>40</v>
      </c>
      <c r="J133" s="575">
        <v>0</v>
      </c>
      <c r="K133" s="575">
        <v>0</v>
      </c>
      <c r="L133" s="574">
        <v>13</v>
      </c>
      <c r="M133" s="574"/>
      <c r="N133" s="574"/>
      <c r="O133" s="574"/>
      <c r="P133" s="574"/>
      <c r="Q133" s="574"/>
      <c r="R133" s="574"/>
      <c r="S133" s="574"/>
      <c r="T133" s="574"/>
      <c r="U133" s="574"/>
      <c r="V133" s="574"/>
      <c r="W133" s="574"/>
      <c r="X133" s="574"/>
      <c r="Y133" s="574">
        <f t="shared" si="13"/>
        <v>61762.5</v>
      </c>
      <c r="Z133" s="574">
        <f t="shared" si="10"/>
        <v>29737.5</v>
      </c>
      <c r="AA133" s="830">
        <f t="shared" si="11"/>
        <v>0</v>
      </c>
      <c r="AB133" s="575">
        <f t="shared" si="12"/>
        <v>0</v>
      </c>
      <c r="AC133" s="574">
        <f t="shared" si="14"/>
        <v>0</v>
      </c>
      <c r="AD133" s="735">
        <f t="shared" si="9"/>
        <v>0</v>
      </c>
      <c r="AE133" s="574"/>
      <c r="AF133" s="1015"/>
    </row>
    <row r="134" spans="2:35">
      <c r="B134" s="574"/>
      <c r="C134" s="572"/>
      <c r="D134" s="572"/>
      <c r="E134" s="572"/>
      <c r="F134" s="572"/>
      <c r="G134" s="720"/>
      <c r="H134" s="574"/>
      <c r="I134" s="575"/>
      <c r="J134" s="575"/>
      <c r="K134" s="575"/>
      <c r="L134" s="574"/>
      <c r="M134" s="574"/>
      <c r="N134" s="574"/>
      <c r="O134" s="574"/>
      <c r="P134" s="574"/>
      <c r="Q134" s="574"/>
      <c r="R134" s="574"/>
      <c r="S134" s="574"/>
      <c r="T134" s="574"/>
      <c r="U134" s="574"/>
      <c r="V134" s="574"/>
      <c r="W134" s="574"/>
      <c r="X134" s="574"/>
      <c r="Y134" s="574">
        <f t="shared" si="13"/>
        <v>0</v>
      </c>
      <c r="Z134" s="574">
        <f t="shared" si="10"/>
        <v>0</v>
      </c>
      <c r="AA134" s="574">
        <f t="shared" si="11"/>
        <v>0</v>
      </c>
      <c r="AB134" s="574">
        <f t="shared" si="12"/>
        <v>0</v>
      </c>
      <c r="AC134" s="574">
        <f t="shared" si="14"/>
        <v>0</v>
      </c>
      <c r="AD134" s="735">
        <f t="shared" si="9"/>
        <v>0</v>
      </c>
      <c r="AE134" s="574"/>
      <c r="AF134" s="1015"/>
    </row>
    <row r="135" spans="2:35">
      <c r="B135" s="848" t="s">
        <v>1624</v>
      </c>
      <c r="C135" s="849"/>
      <c r="D135" s="849"/>
      <c r="E135" s="849"/>
      <c r="F135" s="849"/>
      <c r="G135" s="849"/>
      <c r="H135" s="849"/>
      <c r="I135" s="849"/>
      <c r="J135" s="849"/>
      <c r="K135" s="849"/>
      <c r="L135" s="849"/>
      <c r="M135" s="849"/>
      <c r="N135" s="849"/>
      <c r="O135" s="849"/>
      <c r="P135" s="849"/>
      <c r="Q135" s="849"/>
      <c r="R135" s="849"/>
      <c r="S135" s="849"/>
      <c r="T135" s="849"/>
      <c r="U135" s="849"/>
      <c r="V135" s="849"/>
      <c r="W135" s="849"/>
      <c r="X135" s="850"/>
      <c r="Y135" s="585">
        <f>SUM(Y136:Y142)</f>
        <v>0</v>
      </c>
      <c r="Z135" s="585">
        <f>SUM(Z136:Z142)</f>
        <v>939060</v>
      </c>
      <c r="AA135" s="585">
        <f>SUM(AA136:AA142)</f>
        <v>0</v>
      </c>
      <c r="AB135" s="585">
        <f>SUM(AB136:AB142)</f>
        <v>0</v>
      </c>
      <c r="AC135" s="585">
        <f>SUM(AC136:AC142)</f>
        <v>0</v>
      </c>
      <c r="AD135" s="735">
        <f t="shared" si="9"/>
        <v>0</v>
      </c>
      <c r="AE135" s="585"/>
      <c r="AF135" s="1017">
        <f>Y135/$Y$2</f>
        <v>0</v>
      </c>
      <c r="AG135" s="1011" t="e">
        <f>Z135/$Z$2</f>
        <v>#DIV/0!</v>
      </c>
      <c r="AH135" s="1012" t="e">
        <f>AA135/$AA$2</f>
        <v>#DIV/0!</v>
      </c>
      <c r="AI135" s="1012" t="e">
        <f>AB135/$AB$2</f>
        <v>#DIV/0!</v>
      </c>
    </row>
    <row r="136" spans="2:35">
      <c r="B136" s="574"/>
      <c r="C136" s="572" t="s">
        <v>1625</v>
      </c>
      <c r="D136" s="572"/>
      <c r="E136" s="572"/>
      <c r="F136" s="572" t="str">
        <f>VLOOKUP(C136,[3]Report!A:B,2,0)</f>
        <v>PCS</v>
      </c>
      <c r="G136" s="720" t="s">
        <v>1858</v>
      </c>
      <c r="H136" s="574">
        <f t="array" ref="H136">INDEX([3]Report!E:E,MATCH(C136&amp;F136,[3]Report!A:A&amp;[3]Report!B:B,0))</f>
        <v>52170</v>
      </c>
      <c r="I136" s="694">
        <v>4</v>
      </c>
      <c r="J136" s="575">
        <v>0</v>
      </c>
      <c r="K136" s="575">
        <v>0</v>
      </c>
      <c r="L136" s="574">
        <v>4</v>
      </c>
      <c r="M136" s="574"/>
      <c r="N136" s="574"/>
      <c r="O136" s="574"/>
      <c r="P136" s="574"/>
      <c r="Q136" s="574"/>
      <c r="R136" s="574"/>
      <c r="S136" s="574"/>
      <c r="T136" s="574"/>
      <c r="U136" s="574"/>
      <c r="V136" s="574"/>
      <c r="W136" s="574"/>
      <c r="X136" s="574"/>
      <c r="Y136" s="574">
        <f t="shared" si="13"/>
        <v>0</v>
      </c>
      <c r="Z136" s="574">
        <f t="shared" si="10"/>
        <v>208680</v>
      </c>
      <c r="AA136" s="574">
        <f t="shared" si="11"/>
        <v>0</v>
      </c>
      <c r="AB136" s="574">
        <f t="shared" si="12"/>
        <v>0</v>
      </c>
      <c r="AC136" s="574">
        <f t="shared" si="14"/>
        <v>0</v>
      </c>
      <c r="AD136" s="735">
        <f t="shared" si="9"/>
        <v>0</v>
      </c>
      <c r="AE136" s="574"/>
      <c r="AF136" s="1015"/>
    </row>
    <row r="137" spans="2:35">
      <c r="B137" s="574"/>
      <c r="C137" s="572" t="s">
        <v>1626</v>
      </c>
      <c r="D137" s="572"/>
      <c r="E137" s="572"/>
      <c r="F137" s="572" t="str">
        <f>VLOOKUP(C137,[3]Report!A:B,2,0)</f>
        <v>PCS</v>
      </c>
      <c r="G137" s="720" t="s">
        <v>1858</v>
      </c>
      <c r="H137" s="574">
        <f t="array" ref="H137">INDEX([3]Report!E:E,MATCH(C137&amp;F137,[3]Report!A:A&amp;[3]Report!B:B,0))</f>
        <v>52170</v>
      </c>
      <c r="I137" s="694">
        <v>0</v>
      </c>
      <c r="J137" s="575">
        <v>0</v>
      </c>
      <c r="K137" s="575">
        <v>0</v>
      </c>
      <c r="L137" s="574">
        <v>0</v>
      </c>
      <c r="M137" s="574"/>
      <c r="N137" s="574"/>
      <c r="O137" s="574"/>
      <c r="P137" s="574"/>
      <c r="Q137" s="574"/>
      <c r="R137" s="574"/>
      <c r="S137" s="574"/>
      <c r="T137" s="574"/>
      <c r="U137" s="574"/>
      <c r="V137" s="574"/>
      <c r="W137" s="574"/>
      <c r="X137" s="574"/>
      <c r="Y137" s="574">
        <f t="shared" si="13"/>
        <v>0</v>
      </c>
      <c r="Z137" s="574">
        <f t="shared" si="10"/>
        <v>0</v>
      </c>
      <c r="AA137" s="574">
        <f t="shared" si="11"/>
        <v>0</v>
      </c>
      <c r="AB137" s="574">
        <f t="shared" si="12"/>
        <v>0</v>
      </c>
      <c r="AC137" s="574">
        <f t="shared" si="14"/>
        <v>0</v>
      </c>
      <c r="AD137" s="735">
        <f t="shared" si="9"/>
        <v>0</v>
      </c>
      <c r="AE137" s="574"/>
      <c r="AF137" s="1015"/>
    </row>
    <row r="138" spans="2:35">
      <c r="B138" s="574"/>
      <c r="C138" s="572" t="s">
        <v>1627</v>
      </c>
      <c r="D138" s="572"/>
      <c r="E138" s="572"/>
      <c r="F138" s="572" t="str">
        <f>VLOOKUP(C138,[3]Report!A:B,2,0)</f>
        <v>PCS</v>
      </c>
      <c r="G138" s="720" t="s">
        <v>1858</v>
      </c>
      <c r="H138" s="574">
        <f t="array" ref="H138">INDEX([3]Report!E:E,MATCH(C138&amp;F138,[3]Report!A:A&amp;[3]Report!B:B,0))</f>
        <v>52170</v>
      </c>
      <c r="I138" s="694">
        <v>0</v>
      </c>
      <c r="J138" s="575">
        <v>0</v>
      </c>
      <c r="K138" s="575">
        <v>0</v>
      </c>
      <c r="L138" s="574">
        <v>0</v>
      </c>
      <c r="M138" s="574"/>
      <c r="N138" s="574"/>
      <c r="O138" s="574"/>
      <c r="P138" s="574"/>
      <c r="Q138" s="574"/>
      <c r="R138" s="574"/>
      <c r="S138" s="574"/>
      <c r="T138" s="574"/>
      <c r="U138" s="574"/>
      <c r="V138" s="574"/>
      <c r="W138" s="574"/>
      <c r="X138" s="574"/>
      <c r="Y138" s="574">
        <f t="shared" si="13"/>
        <v>0</v>
      </c>
      <c r="Z138" s="574">
        <f t="shared" si="10"/>
        <v>0</v>
      </c>
      <c r="AA138" s="574">
        <f t="shared" si="11"/>
        <v>0</v>
      </c>
      <c r="AB138" s="574">
        <f t="shared" si="12"/>
        <v>0</v>
      </c>
      <c r="AC138" s="574">
        <f t="shared" si="14"/>
        <v>0</v>
      </c>
      <c r="AD138" s="735">
        <f t="shared" si="9"/>
        <v>0</v>
      </c>
      <c r="AE138" s="574"/>
      <c r="AF138" s="1015"/>
    </row>
    <row r="139" spans="2:35">
      <c r="B139" s="574"/>
      <c r="C139" s="572" t="s">
        <v>1628</v>
      </c>
      <c r="D139" s="572"/>
      <c r="E139" s="572"/>
      <c r="F139" s="572" t="str">
        <f>VLOOKUP(C139,[3]Report!A:B,2,0)</f>
        <v>PCS</v>
      </c>
      <c r="G139" s="720" t="s">
        <v>1858</v>
      </c>
      <c r="H139" s="574">
        <f t="array" ref="H139">INDEX([3]Report!E:E,MATCH(C139&amp;F139,[3]Report!A:A&amp;[3]Report!B:B,0))</f>
        <v>52170</v>
      </c>
      <c r="I139" s="694">
        <v>5</v>
      </c>
      <c r="J139" s="575">
        <v>0</v>
      </c>
      <c r="K139" s="575">
        <v>0</v>
      </c>
      <c r="L139" s="574">
        <v>5</v>
      </c>
      <c r="M139" s="574"/>
      <c r="N139" s="574"/>
      <c r="O139" s="574"/>
      <c r="P139" s="574"/>
      <c r="Q139" s="574"/>
      <c r="R139" s="574"/>
      <c r="S139" s="574"/>
      <c r="T139" s="574"/>
      <c r="U139" s="574"/>
      <c r="V139" s="574"/>
      <c r="W139" s="574"/>
      <c r="X139" s="574"/>
      <c r="Y139" s="574">
        <f t="shared" si="13"/>
        <v>0</v>
      </c>
      <c r="Z139" s="574">
        <f t="shared" si="10"/>
        <v>260850</v>
      </c>
      <c r="AA139" s="574">
        <f t="shared" si="11"/>
        <v>0</v>
      </c>
      <c r="AB139" s="574">
        <f t="shared" si="12"/>
        <v>0</v>
      </c>
      <c r="AC139" s="574">
        <f t="shared" si="14"/>
        <v>0</v>
      </c>
      <c r="AD139" s="735">
        <f t="shared" si="9"/>
        <v>0</v>
      </c>
      <c r="AE139" s="574"/>
      <c r="AF139" s="1015"/>
    </row>
    <row r="140" spans="2:35">
      <c r="B140" s="574"/>
      <c r="C140" s="572" t="s">
        <v>1629</v>
      </c>
      <c r="D140" s="572"/>
      <c r="E140" s="572"/>
      <c r="F140" s="572" t="str">
        <f>VLOOKUP(C140,[3]Report!A:B,2,0)</f>
        <v>PCS</v>
      </c>
      <c r="G140" s="720" t="s">
        <v>1858</v>
      </c>
      <c r="H140" s="574">
        <f t="array" ref="H140">INDEX([3]Report!E:E,MATCH(C140&amp;F140,[3]Report!A:A&amp;[3]Report!B:B,0))</f>
        <v>52170</v>
      </c>
      <c r="I140" s="694">
        <v>4</v>
      </c>
      <c r="J140" s="575">
        <v>0</v>
      </c>
      <c r="K140" s="575">
        <v>0</v>
      </c>
      <c r="L140" s="574">
        <v>4</v>
      </c>
      <c r="M140" s="574"/>
      <c r="N140" s="574"/>
      <c r="O140" s="574"/>
      <c r="P140" s="574"/>
      <c r="Q140" s="574"/>
      <c r="R140" s="574"/>
      <c r="S140" s="574"/>
      <c r="T140" s="574"/>
      <c r="U140" s="574"/>
      <c r="V140" s="574"/>
      <c r="W140" s="574"/>
      <c r="X140" s="574"/>
      <c r="Y140" s="574">
        <f t="shared" si="13"/>
        <v>0</v>
      </c>
      <c r="Z140" s="574">
        <f t="shared" si="10"/>
        <v>208680</v>
      </c>
      <c r="AA140" s="574">
        <f t="shared" si="11"/>
        <v>0</v>
      </c>
      <c r="AB140" s="574">
        <f t="shared" si="12"/>
        <v>0</v>
      </c>
      <c r="AC140" s="574">
        <f t="shared" si="14"/>
        <v>0</v>
      </c>
      <c r="AD140" s="735">
        <f t="shared" si="9"/>
        <v>0</v>
      </c>
      <c r="AE140" s="574"/>
      <c r="AF140" s="1015"/>
    </row>
    <row r="141" spans="2:35">
      <c r="B141" s="574"/>
      <c r="C141" s="572" t="s">
        <v>1630</v>
      </c>
      <c r="D141" s="572"/>
      <c r="E141" s="572"/>
      <c r="F141" s="572" t="str">
        <f>VLOOKUP(C141,[3]Report!A:B,2,0)</f>
        <v>PCS</v>
      </c>
      <c r="G141" s="720" t="s">
        <v>1858</v>
      </c>
      <c r="H141" s="574">
        <f t="array" ref="H141">INDEX([3]Report!E:E,MATCH(C141&amp;F141,[3]Report!A:A&amp;[3]Report!B:B,0))</f>
        <v>52170</v>
      </c>
      <c r="I141" s="694">
        <v>5</v>
      </c>
      <c r="J141" s="575">
        <v>0</v>
      </c>
      <c r="K141" s="575">
        <v>0</v>
      </c>
      <c r="L141" s="574">
        <v>5</v>
      </c>
      <c r="M141" s="574"/>
      <c r="N141" s="574"/>
      <c r="O141" s="574"/>
      <c r="P141" s="574"/>
      <c r="Q141" s="574"/>
      <c r="R141" s="574"/>
      <c r="S141" s="574"/>
      <c r="T141" s="574"/>
      <c r="U141" s="574"/>
      <c r="V141" s="574"/>
      <c r="W141" s="574"/>
      <c r="X141" s="574"/>
      <c r="Y141" s="574">
        <f t="shared" si="13"/>
        <v>0</v>
      </c>
      <c r="Z141" s="574">
        <f t="shared" ref="Z141" si="15">IFERROR(SUM(I141,J141,M141)-O141,"")*H141</f>
        <v>260850</v>
      </c>
      <c r="AA141" s="574">
        <f t="shared" si="11"/>
        <v>0</v>
      </c>
      <c r="AB141" s="574">
        <f t="shared" si="12"/>
        <v>0</v>
      </c>
      <c r="AC141" s="574">
        <f t="shared" si="14"/>
        <v>0</v>
      </c>
      <c r="AD141" s="735">
        <f t="shared" ref="AD141" si="16">SUM(R141+S141)-U141</f>
        <v>0</v>
      </c>
      <c r="AE141" s="574"/>
      <c r="AF141" s="1018"/>
    </row>
    <row r="142" spans="2:35">
      <c r="C142" s="586"/>
      <c r="D142" s="586"/>
      <c r="E142" s="586"/>
      <c r="F142" s="586"/>
      <c r="G142" s="722"/>
      <c r="H142" s="587"/>
      <c r="I142" s="587"/>
      <c r="J142" s="587"/>
      <c r="K142" s="587"/>
      <c r="L142" s="587"/>
      <c r="M142" s="587"/>
      <c r="N142" s="587"/>
      <c r="O142" s="587"/>
      <c r="P142" s="587"/>
      <c r="Q142" s="587"/>
      <c r="R142" s="587"/>
      <c r="S142" s="587"/>
      <c r="T142" s="587"/>
      <c r="U142" s="587"/>
      <c r="V142" s="587"/>
      <c r="W142" s="587"/>
      <c r="X142" s="587"/>
      <c r="Y142" s="587"/>
      <c r="Z142" s="587"/>
      <c r="AA142" s="587"/>
      <c r="AB142" s="587">
        <f>IFERROR((SUM(I142:S142)-X142)*H142,"")</f>
        <v>0</v>
      </c>
      <c r="AC142" s="587"/>
      <c r="AD142" s="587"/>
      <c r="AE142" s="587"/>
      <c r="AF142" s="1019"/>
    </row>
  </sheetData>
  <mergeCells count="31">
    <mergeCell ref="C1:AB1"/>
    <mergeCell ref="C3:H3"/>
    <mergeCell ref="C6:X6"/>
    <mergeCell ref="B39:X39"/>
    <mergeCell ref="B135:X135"/>
    <mergeCell ref="B19:X19"/>
    <mergeCell ref="B49:X49"/>
    <mergeCell ref="B36:X36"/>
    <mergeCell ref="H4:H5"/>
    <mergeCell ref="I4:I5"/>
    <mergeCell ref="M4:O4"/>
    <mergeCell ref="P4:R4"/>
    <mergeCell ref="X4:X5"/>
    <mergeCell ref="S4:U4"/>
    <mergeCell ref="V4:W4"/>
    <mergeCell ref="AH3:AH6"/>
    <mergeCell ref="AI3:AI6"/>
    <mergeCell ref="AG3:AG6"/>
    <mergeCell ref="B78:X78"/>
    <mergeCell ref="B111:X111"/>
    <mergeCell ref="B71:X71"/>
    <mergeCell ref="B3:B6"/>
    <mergeCell ref="B7:X7"/>
    <mergeCell ref="B10:X10"/>
    <mergeCell ref="I3:U3"/>
    <mergeCell ref="AF3:AF6"/>
    <mergeCell ref="AE3:AE6"/>
    <mergeCell ref="AD3:AD6"/>
    <mergeCell ref="J4:L4"/>
    <mergeCell ref="C4:C5"/>
    <mergeCell ref="F4:F5"/>
  </mergeCells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2D6DD1-B442-4F0B-8884-BDF828AC2EDE}">
  <sheetPr>
    <tabColor theme="3" tint="-0.499984740745262"/>
  </sheetPr>
  <dimension ref="B2:J122"/>
  <sheetViews>
    <sheetView showGridLines="0" zoomScale="85" zoomScaleNormal="85" workbookViewId="0">
      <selection activeCell="E14" sqref="E14:F122"/>
    </sheetView>
  </sheetViews>
  <sheetFormatPr defaultRowHeight="14.25"/>
  <cols>
    <col min="2" max="2" width="17.265625" customWidth="1"/>
    <col min="3" max="3" width="48.46484375" customWidth="1"/>
    <col min="4" max="4" width="14.19921875" customWidth="1"/>
    <col min="5" max="5" width="8.46484375" bestFit="1" customWidth="1"/>
    <col min="6" max="6" width="9" bestFit="1" customWidth="1"/>
    <col min="7" max="9" width="17" customWidth="1"/>
  </cols>
  <sheetData>
    <row r="2" spans="2:10" ht="25.5">
      <c r="B2" s="45" t="s">
        <v>1631</v>
      </c>
      <c r="C2" s="45"/>
    </row>
    <row r="4" spans="2:10" ht="14.65" thickBot="1">
      <c r="B4" s="223" t="s">
        <v>2117</v>
      </c>
      <c r="C4" s="223"/>
      <c r="D4" s="889"/>
      <c r="E4" s="889"/>
    </row>
    <row r="5" spans="2:10" ht="24" customHeight="1" thickTop="1">
      <c r="B5" s="45"/>
      <c r="C5" s="45"/>
      <c r="D5" s="1"/>
    </row>
    <row r="6" spans="2:10" ht="14.65" thickBot="1">
      <c r="B6" s="223" t="s">
        <v>2118</v>
      </c>
      <c r="C6" s="223"/>
      <c r="D6" s="889"/>
      <c r="E6" s="889"/>
    </row>
    <row r="7" spans="2:10" ht="24.6" customHeight="1" thickTop="1"/>
    <row r="8" spans="2:10" ht="14.65" thickBot="1">
      <c r="B8" s="223" t="s">
        <v>1655</v>
      </c>
      <c r="C8" s="223"/>
    </row>
    <row r="9" spans="2:10" ht="14.65" thickTop="1"/>
    <row r="10" spans="2:10">
      <c r="E10" s="888" t="s">
        <v>1678</v>
      </c>
      <c r="F10" s="888"/>
      <c r="G10" s="888"/>
    </row>
    <row r="11" spans="2:10">
      <c r="E11" s="660">
        <f>SUM(E14:E80)</f>
        <v>790.5</v>
      </c>
      <c r="F11" s="660">
        <f>SUM(F14:F80)</f>
        <v>340</v>
      </c>
      <c r="G11" s="661">
        <f>SUM(G14:G111)</f>
        <v>90475220</v>
      </c>
    </row>
    <row r="12" spans="2:10" ht="17.45" customHeight="1">
      <c r="B12" s="659"/>
      <c r="C12" s="537" t="s">
        <v>1302</v>
      </c>
      <c r="D12" s="659"/>
      <c r="E12" s="885" t="s">
        <v>754</v>
      </c>
      <c r="F12" s="886"/>
      <c r="G12" s="887"/>
      <c r="H12" s="885" t="s">
        <v>1658</v>
      </c>
      <c r="I12" s="887"/>
      <c r="J12" s="840" t="s">
        <v>912</v>
      </c>
    </row>
    <row r="13" spans="2:10">
      <c r="B13" s="537" t="s">
        <v>608</v>
      </c>
      <c r="C13" s="537" t="s">
        <v>654</v>
      </c>
      <c r="D13" s="537" t="s">
        <v>1656</v>
      </c>
      <c r="E13" s="538" t="s">
        <v>1309</v>
      </c>
      <c r="F13" s="539" t="s">
        <v>1308</v>
      </c>
      <c r="G13" s="539" t="s">
        <v>1657</v>
      </c>
      <c r="H13" s="539" t="s">
        <v>1659</v>
      </c>
      <c r="I13" s="539" t="s">
        <v>1660</v>
      </c>
      <c r="J13" s="840"/>
    </row>
    <row r="14" spans="2:10">
      <c r="B14" s="544" t="s">
        <v>1997</v>
      </c>
      <c r="C14" s="544" t="s">
        <v>1303</v>
      </c>
      <c r="D14" s="546">
        <v>23100.000000000004</v>
      </c>
      <c r="E14" s="832">
        <v>24</v>
      </c>
      <c r="F14" s="832">
        <v>17</v>
      </c>
      <c r="G14" s="680">
        <f t="shared" ref="G14:G77" si="0">D14*(E14+F14)</f>
        <v>947100.00000000012</v>
      </c>
      <c r="H14" s="681">
        <f t="shared" ref="H14:H77" si="1">(E14+F14)/($E$11+$F$11)</f>
        <v>3.6267138434321097E-2</v>
      </c>
      <c r="I14" s="681">
        <f t="shared" ref="I14:I77" si="2">G14/$G$11</f>
        <v>1.0468059652134586E-2</v>
      </c>
      <c r="J14" s="682"/>
    </row>
    <row r="15" spans="2:10">
      <c r="B15" s="544" t="s">
        <v>1998</v>
      </c>
      <c r="C15" s="544" t="s">
        <v>1632</v>
      </c>
      <c r="D15" s="546">
        <v>25300.000000000004</v>
      </c>
      <c r="E15" s="832"/>
      <c r="F15" s="832">
        <v>0</v>
      </c>
      <c r="G15" s="680">
        <f t="shared" si="0"/>
        <v>0</v>
      </c>
      <c r="H15" s="681">
        <f t="shared" si="1"/>
        <v>0</v>
      </c>
      <c r="I15" s="681">
        <f t="shared" si="2"/>
        <v>0</v>
      </c>
      <c r="J15" s="682"/>
    </row>
    <row r="16" spans="2:10">
      <c r="B16" s="544" t="s">
        <v>1999</v>
      </c>
      <c r="C16" s="544" t="s">
        <v>1633</v>
      </c>
      <c r="D16" s="546">
        <v>25300.000000000004</v>
      </c>
      <c r="E16" s="832">
        <v>23</v>
      </c>
      <c r="F16" s="832">
        <v>14</v>
      </c>
      <c r="G16" s="680">
        <f t="shared" si="0"/>
        <v>936100.00000000012</v>
      </c>
      <c r="H16" s="681">
        <f t="shared" si="1"/>
        <v>3.2728881026094649E-2</v>
      </c>
      <c r="I16" s="681">
        <f t="shared" si="2"/>
        <v>1.0346479400657993E-2</v>
      </c>
      <c r="J16" s="682"/>
    </row>
    <row r="17" spans="2:10">
      <c r="B17" s="544" t="s">
        <v>2000</v>
      </c>
      <c r="C17" s="544" t="s">
        <v>1634</v>
      </c>
      <c r="D17" s="546">
        <v>25300.000000000004</v>
      </c>
      <c r="E17" s="832">
        <v>11</v>
      </c>
      <c r="F17" s="832">
        <v>4</v>
      </c>
      <c r="G17" s="680">
        <f t="shared" si="0"/>
        <v>379500.00000000006</v>
      </c>
      <c r="H17" s="681">
        <f t="shared" si="1"/>
        <v>1.3268465280849183E-2</v>
      </c>
      <c r="I17" s="681">
        <f t="shared" si="2"/>
        <v>4.19451867594243E-3</v>
      </c>
      <c r="J17" s="682"/>
    </row>
    <row r="18" spans="2:10">
      <c r="B18" s="544" t="s">
        <v>2001</v>
      </c>
      <c r="C18" s="544" t="s">
        <v>1635</v>
      </c>
      <c r="D18" s="546">
        <v>25300.000000000004</v>
      </c>
      <c r="E18" s="832">
        <v>30</v>
      </c>
      <c r="F18" s="832">
        <v>22</v>
      </c>
      <c r="G18" s="680">
        <f t="shared" si="0"/>
        <v>1315600.0000000002</v>
      </c>
      <c r="H18" s="681">
        <f t="shared" si="1"/>
        <v>4.5997346306943833E-2</v>
      </c>
      <c r="I18" s="681">
        <f t="shared" si="2"/>
        <v>1.4540998076600425E-2</v>
      </c>
      <c r="J18" s="682"/>
    </row>
    <row r="19" spans="2:10">
      <c r="B19" s="544" t="s">
        <v>2002</v>
      </c>
      <c r="C19" s="544" t="s">
        <v>1636</v>
      </c>
      <c r="D19" s="546">
        <v>25300.000000000004</v>
      </c>
      <c r="E19" s="832"/>
      <c r="F19" s="832">
        <v>0</v>
      </c>
      <c r="G19" s="680">
        <f t="shared" si="0"/>
        <v>0</v>
      </c>
      <c r="H19" s="681">
        <f t="shared" si="1"/>
        <v>0</v>
      </c>
      <c r="I19" s="681">
        <f t="shared" si="2"/>
        <v>0</v>
      </c>
      <c r="J19" s="682"/>
    </row>
    <row r="20" spans="2:10">
      <c r="B20" s="544"/>
      <c r="C20" s="544" t="s">
        <v>1989</v>
      </c>
      <c r="D20" s="546">
        <v>23100.000000000004</v>
      </c>
      <c r="E20" s="832">
        <v>10</v>
      </c>
      <c r="F20" s="832">
        <v>14</v>
      </c>
      <c r="G20" s="680">
        <f t="shared" si="0"/>
        <v>554400.00000000012</v>
      </c>
      <c r="H20" s="681">
        <f t="shared" si="1"/>
        <v>2.1229544449358692E-2</v>
      </c>
      <c r="I20" s="681">
        <f t="shared" si="2"/>
        <v>6.127644674420246E-3</v>
      </c>
      <c r="J20" s="682"/>
    </row>
    <row r="21" spans="2:10">
      <c r="B21" s="544"/>
      <c r="C21" s="544" t="s">
        <v>2003</v>
      </c>
      <c r="D21" s="546">
        <v>23100.000000000004</v>
      </c>
      <c r="E21" s="832">
        <v>19</v>
      </c>
      <c r="F21" s="832">
        <v>6</v>
      </c>
      <c r="G21" s="680">
        <f t="shared" si="0"/>
        <v>577500.00000000012</v>
      </c>
      <c r="H21" s="681">
        <f t="shared" si="1"/>
        <v>2.2114108801415303E-2</v>
      </c>
      <c r="I21" s="681">
        <f t="shared" si="2"/>
        <v>6.3829632025210895E-3</v>
      </c>
      <c r="J21" s="682"/>
    </row>
    <row r="22" spans="2:10">
      <c r="B22" s="547" t="s">
        <v>2004</v>
      </c>
      <c r="C22" s="547" t="s">
        <v>1637</v>
      </c>
      <c r="D22" s="548">
        <v>82500</v>
      </c>
      <c r="E22" s="832">
        <v>13</v>
      </c>
      <c r="F22" s="832">
        <v>38.5</v>
      </c>
      <c r="G22" s="680">
        <f t="shared" si="0"/>
        <v>4248750</v>
      </c>
      <c r="H22" s="681">
        <f t="shared" si="1"/>
        <v>4.5555064130915521E-2</v>
      </c>
      <c r="I22" s="681">
        <f t="shared" si="2"/>
        <v>4.6960372132833716E-2</v>
      </c>
      <c r="J22" s="683"/>
    </row>
    <row r="23" spans="2:10">
      <c r="B23" s="547" t="s">
        <v>2005</v>
      </c>
      <c r="C23" s="547" t="s">
        <v>1638</v>
      </c>
      <c r="D23" s="548">
        <v>93500.000000000015</v>
      </c>
      <c r="E23" s="832">
        <v>0</v>
      </c>
      <c r="F23" s="832">
        <v>0</v>
      </c>
      <c r="G23" s="680">
        <f t="shared" si="0"/>
        <v>0</v>
      </c>
      <c r="H23" s="681">
        <f t="shared" si="1"/>
        <v>0</v>
      </c>
      <c r="I23" s="681">
        <f t="shared" si="2"/>
        <v>0</v>
      </c>
      <c r="J23" s="683"/>
    </row>
    <row r="24" spans="2:10">
      <c r="B24" s="547" t="s">
        <v>2006</v>
      </c>
      <c r="C24" s="547" t="s">
        <v>1639</v>
      </c>
      <c r="D24" s="548">
        <v>93500.000000000015</v>
      </c>
      <c r="E24" s="832">
        <v>53.5</v>
      </c>
      <c r="F24" s="832">
        <v>30.25</v>
      </c>
      <c r="G24" s="680">
        <f t="shared" si="0"/>
        <v>7830625.0000000009</v>
      </c>
      <c r="H24" s="681">
        <f t="shared" si="1"/>
        <v>7.408226448474127E-2</v>
      </c>
      <c r="I24" s="681">
        <f t="shared" si="2"/>
        <v>8.6549941519899046E-2</v>
      </c>
      <c r="J24" s="683"/>
    </row>
    <row r="25" spans="2:10">
      <c r="B25" s="547" t="s">
        <v>2007</v>
      </c>
      <c r="C25" s="547" t="s">
        <v>1640</v>
      </c>
      <c r="D25" s="548">
        <v>93500.000000000015</v>
      </c>
      <c r="E25" s="832">
        <v>11.75</v>
      </c>
      <c r="F25" s="832">
        <v>13.75</v>
      </c>
      <c r="G25" s="680">
        <f t="shared" si="0"/>
        <v>2384250.0000000005</v>
      </c>
      <c r="H25" s="681">
        <f t="shared" si="1"/>
        <v>2.2556390977443608E-2</v>
      </c>
      <c r="I25" s="681">
        <f t="shared" si="2"/>
        <v>2.6352519507551353E-2</v>
      </c>
      <c r="J25" s="683"/>
    </row>
    <row r="26" spans="2:10">
      <c r="B26" s="547" t="s">
        <v>2008</v>
      </c>
      <c r="C26" s="547" t="s">
        <v>1641</v>
      </c>
      <c r="D26" s="548">
        <v>93500.000000000015</v>
      </c>
      <c r="E26" s="832">
        <v>48.75</v>
      </c>
      <c r="F26" s="832">
        <v>38.5</v>
      </c>
      <c r="G26" s="680">
        <f t="shared" si="0"/>
        <v>8157875.0000000009</v>
      </c>
      <c r="H26" s="681">
        <f t="shared" si="1"/>
        <v>7.7178239716939406E-2</v>
      </c>
      <c r="I26" s="681">
        <f t="shared" si="2"/>
        <v>9.0166954001327668E-2</v>
      </c>
      <c r="J26" s="683"/>
    </row>
    <row r="27" spans="2:10">
      <c r="B27" s="547" t="s">
        <v>2009</v>
      </c>
      <c r="C27" s="547" t="s">
        <v>1642</v>
      </c>
      <c r="D27" s="548">
        <v>93500.000000000015</v>
      </c>
      <c r="E27" s="832">
        <v>0</v>
      </c>
      <c r="F27" s="832">
        <v>0</v>
      </c>
      <c r="G27" s="680">
        <f t="shared" si="0"/>
        <v>0</v>
      </c>
      <c r="H27" s="681">
        <f t="shared" si="1"/>
        <v>0</v>
      </c>
      <c r="I27" s="681">
        <f t="shared" si="2"/>
        <v>0</v>
      </c>
      <c r="J27" s="683"/>
    </row>
    <row r="28" spans="2:10">
      <c r="B28" s="547"/>
      <c r="C28" s="547" t="s">
        <v>1990</v>
      </c>
      <c r="D28" s="548">
        <v>82500</v>
      </c>
      <c r="E28" s="832">
        <v>17.5</v>
      </c>
      <c r="F28" s="832">
        <v>15</v>
      </c>
      <c r="G28" s="680">
        <f t="shared" si="0"/>
        <v>2681250</v>
      </c>
      <c r="H28" s="681">
        <f t="shared" si="1"/>
        <v>2.8748341441839895E-2</v>
      </c>
      <c r="I28" s="681">
        <f t="shared" si="2"/>
        <v>2.9635186297419337E-2</v>
      </c>
      <c r="J28" s="683"/>
    </row>
    <row r="29" spans="2:10">
      <c r="B29" s="547"/>
      <c r="C29" s="547" t="s">
        <v>2010</v>
      </c>
      <c r="D29" s="548">
        <v>82500</v>
      </c>
      <c r="E29" s="832">
        <v>21</v>
      </c>
      <c r="F29" s="832">
        <v>12</v>
      </c>
      <c r="G29" s="680">
        <f t="shared" si="0"/>
        <v>2722500</v>
      </c>
      <c r="H29" s="681">
        <f t="shared" si="1"/>
        <v>2.91906236178682E-2</v>
      </c>
      <c r="I29" s="681">
        <f t="shared" si="2"/>
        <v>3.0091112240456557E-2</v>
      </c>
      <c r="J29" s="683"/>
    </row>
    <row r="30" spans="2:10">
      <c r="B30" s="549" t="s">
        <v>2011</v>
      </c>
      <c r="C30" s="549" t="s">
        <v>1643</v>
      </c>
      <c r="D30" s="550">
        <v>39600</v>
      </c>
      <c r="E30" s="832">
        <v>17</v>
      </c>
      <c r="F30" s="832">
        <v>6</v>
      </c>
      <c r="G30" s="680">
        <f t="shared" si="0"/>
        <v>910800</v>
      </c>
      <c r="H30" s="681">
        <f t="shared" si="1"/>
        <v>2.0344980097302078E-2</v>
      </c>
      <c r="I30" s="681">
        <f t="shared" si="2"/>
        <v>1.006684482226183E-2</v>
      </c>
      <c r="J30" s="684"/>
    </row>
    <row r="31" spans="2:10">
      <c r="B31" s="549" t="s">
        <v>2012</v>
      </c>
      <c r="C31" s="549" t="s">
        <v>1644</v>
      </c>
      <c r="D31" s="550">
        <v>42900</v>
      </c>
      <c r="E31" s="832">
        <v>0</v>
      </c>
      <c r="F31" s="832">
        <v>0</v>
      </c>
      <c r="G31" s="680">
        <f t="shared" si="0"/>
        <v>0</v>
      </c>
      <c r="H31" s="681">
        <f t="shared" si="1"/>
        <v>0</v>
      </c>
      <c r="I31" s="681">
        <f t="shared" si="2"/>
        <v>0</v>
      </c>
      <c r="J31" s="684"/>
    </row>
    <row r="32" spans="2:10">
      <c r="B32" s="549" t="s">
        <v>2013</v>
      </c>
      <c r="C32" s="549" t="s">
        <v>1645</v>
      </c>
      <c r="D32" s="550">
        <v>42900</v>
      </c>
      <c r="E32" s="832">
        <v>33</v>
      </c>
      <c r="F32" s="832">
        <v>17</v>
      </c>
      <c r="G32" s="680">
        <f t="shared" si="0"/>
        <v>2145000</v>
      </c>
      <c r="H32" s="681">
        <f t="shared" si="1"/>
        <v>4.4228217602830605E-2</v>
      </c>
      <c r="I32" s="681">
        <f t="shared" si="2"/>
        <v>2.3708149037935469E-2</v>
      </c>
      <c r="J32" s="684"/>
    </row>
    <row r="33" spans="2:10">
      <c r="B33" s="549" t="s">
        <v>2014</v>
      </c>
      <c r="C33" s="549" t="s">
        <v>1646</v>
      </c>
      <c r="D33" s="550">
        <v>42900</v>
      </c>
      <c r="E33" s="832">
        <v>18</v>
      </c>
      <c r="F33" s="832">
        <v>0</v>
      </c>
      <c r="G33" s="680">
        <f t="shared" si="0"/>
        <v>772200</v>
      </c>
      <c r="H33" s="681">
        <f t="shared" si="1"/>
        <v>1.5922158337019019E-2</v>
      </c>
      <c r="I33" s="681">
        <f t="shared" si="2"/>
        <v>8.5349336536567691E-3</v>
      </c>
      <c r="J33" s="684"/>
    </row>
    <row r="34" spans="2:10">
      <c r="B34" s="549" t="s">
        <v>2015</v>
      </c>
      <c r="C34" s="549" t="s">
        <v>1647</v>
      </c>
      <c r="D34" s="550">
        <v>42900</v>
      </c>
      <c r="E34" s="832">
        <v>23</v>
      </c>
      <c r="F34" s="832">
        <v>5</v>
      </c>
      <c r="G34" s="680">
        <f t="shared" si="0"/>
        <v>1201200</v>
      </c>
      <c r="H34" s="681">
        <f t="shared" si="1"/>
        <v>2.4767801857585141E-2</v>
      </c>
      <c r="I34" s="681">
        <f t="shared" si="2"/>
        <v>1.3276563461243862E-2</v>
      </c>
      <c r="J34" s="684"/>
    </row>
    <row r="35" spans="2:10">
      <c r="B35" s="549" t="s">
        <v>2016</v>
      </c>
      <c r="C35" s="549" t="s">
        <v>1648</v>
      </c>
      <c r="D35" s="550">
        <v>42900</v>
      </c>
      <c r="E35" s="832">
        <v>0</v>
      </c>
      <c r="F35" s="832">
        <v>0</v>
      </c>
      <c r="G35" s="680">
        <f t="shared" si="0"/>
        <v>0</v>
      </c>
      <c r="H35" s="681">
        <f t="shared" si="1"/>
        <v>0</v>
      </c>
      <c r="I35" s="681">
        <f t="shared" si="2"/>
        <v>0</v>
      </c>
      <c r="J35" s="684"/>
    </row>
    <row r="36" spans="2:10">
      <c r="B36" s="549"/>
      <c r="C36" s="549" t="s">
        <v>1991</v>
      </c>
      <c r="D36" s="550">
        <v>39600</v>
      </c>
      <c r="E36" s="832">
        <v>16</v>
      </c>
      <c r="F36" s="832">
        <v>1</v>
      </c>
      <c r="G36" s="680">
        <f t="shared" si="0"/>
        <v>673200</v>
      </c>
      <c r="H36" s="681">
        <f t="shared" si="1"/>
        <v>1.5037593984962405E-2</v>
      </c>
      <c r="I36" s="681">
        <f t="shared" si="2"/>
        <v>7.4407113903674398E-3</v>
      </c>
      <c r="J36" s="684"/>
    </row>
    <row r="37" spans="2:10">
      <c r="B37" s="549"/>
      <c r="C37" s="549" t="s">
        <v>2017</v>
      </c>
      <c r="D37" s="550">
        <v>39600</v>
      </c>
      <c r="E37" s="832">
        <v>4</v>
      </c>
      <c r="F37" s="832">
        <v>1</v>
      </c>
      <c r="G37" s="680">
        <f t="shared" si="0"/>
        <v>198000</v>
      </c>
      <c r="H37" s="681">
        <f t="shared" si="1"/>
        <v>4.4228217602830609E-3</v>
      </c>
      <c r="I37" s="681">
        <f t="shared" si="2"/>
        <v>2.1884445265786586E-3</v>
      </c>
      <c r="J37" s="684"/>
    </row>
    <row r="38" spans="2:10">
      <c r="B38" s="551" t="s">
        <v>2018</v>
      </c>
      <c r="C38" s="551" t="s">
        <v>1649</v>
      </c>
      <c r="D38" s="552">
        <v>45100.000000000007</v>
      </c>
      <c r="E38" s="832">
        <v>2</v>
      </c>
      <c r="F38" s="832">
        <v>2</v>
      </c>
      <c r="G38" s="680">
        <f t="shared" si="0"/>
        <v>180400.00000000003</v>
      </c>
      <c r="H38" s="681">
        <f t="shared" si="1"/>
        <v>3.5382574082264487E-3</v>
      </c>
      <c r="I38" s="681">
        <f t="shared" si="2"/>
        <v>1.9939161242161114E-3</v>
      </c>
      <c r="J38" s="685"/>
    </row>
    <row r="39" spans="2:10">
      <c r="B39" s="551" t="s">
        <v>2019</v>
      </c>
      <c r="C39" s="551" t="s">
        <v>1650</v>
      </c>
      <c r="D39" s="552">
        <v>48400.000000000007</v>
      </c>
      <c r="E39" s="832"/>
      <c r="F39" s="832">
        <v>0</v>
      </c>
      <c r="G39" s="680">
        <f t="shared" si="0"/>
        <v>0</v>
      </c>
      <c r="H39" s="681">
        <f t="shared" si="1"/>
        <v>0</v>
      </c>
      <c r="I39" s="681">
        <f t="shared" si="2"/>
        <v>0</v>
      </c>
      <c r="J39" s="685"/>
    </row>
    <row r="40" spans="2:10">
      <c r="B40" s="551" t="s">
        <v>2020</v>
      </c>
      <c r="C40" s="551" t="s">
        <v>1651</v>
      </c>
      <c r="D40" s="552">
        <v>48400.000000000007</v>
      </c>
      <c r="E40" s="832">
        <v>2</v>
      </c>
      <c r="F40" s="832">
        <v>0</v>
      </c>
      <c r="G40" s="680">
        <f t="shared" si="0"/>
        <v>96800.000000000015</v>
      </c>
      <c r="H40" s="681">
        <f t="shared" si="1"/>
        <v>1.7691287041132243E-3</v>
      </c>
      <c r="I40" s="681">
        <f t="shared" si="2"/>
        <v>1.0699062129940111E-3</v>
      </c>
      <c r="J40" s="685"/>
    </row>
    <row r="41" spans="2:10">
      <c r="B41" s="551" t="s">
        <v>2021</v>
      </c>
      <c r="C41" s="551" t="s">
        <v>1652</v>
      </c>
      <c r="D41" s="552">
        <v>48400.000000000007</v>
      </c>
      <c r="E41" s="832">
        <v>2</v>
      </c>
      <c r="F41" s="832">
        <v>0</v>
      </c>
      <c r="G41" s="680">
        <f t="shared" si="0"/>
        <v>96800.000000000015</v>
      </c>
      <c r="H41" s="681">
        <f t="shared" si="1"/>
        <v>1.7691287041132243E-3</v>
      </c>
      <c r="I41" s="681">
        <f t="shared" si="2"/>
        <v>1.0699062129940111E-3</v>
      </c>
      <c r="J41" s="685"/>
    </row>
    <row r="42" spans="2:10">
      <c r="B42" s="551" t="s">
        <v>2022</v>
      </c>
      <c r="C42" s="551" t="s">
        <v>1653</v>
      </c>
      <c r="D42" s="552">
        <v>48400.000000000007</v>
      </c>
      <c r="E42" s="832">
        <v>2</v>
      </c>
      <c r="F42" s="832">
        <v>0</v>
      </c>
      <c r="G42" s="680">
        <f t="shared" si="0"/>
        <v>96800.000000000015</v>
      </c>
      <c r="H42" s="681">
        <f t="shared" si="1"/>
        <v>1.7691287041132243E-3</v>
      </c>
      <c r="I42" s="681">
        <f t="shared" si="2"/>
        <v>1.0699062129940111E-3</v>
      </c>
      <c r="J42" s="685"/>
    </row>
    <row r="43" spans="2:10">
      <c r="B43" s="551" t="s">
        <v>2023</v>
      </c>
      <c r="C43" s="551" t="s">
        <v>1654</v>
      </c>
      <c r="D43" s="552">
        <v>48400.000000000007</v>
      </c>
      <c r="E43" s="832"/>
      <c r="F43" s="832">
        <v>0</v>
      </c>
      <c r="G43" s="680">
        <f t="shared" si="0"/>
        <v>0</v>
      </c>
      <c r="H43" s="681">
        <f t="shared" si="1"/>
        <v>0</v>
      </c>
      <c r="I43" s="681">
        <f t="shared" si="2"/>
        <v>0</v>
      </c>
      <c r="J43" s="685"/>
    </row>
    <row r="44" spans="2:10">
      <c r="B44" s="551"/>
      <c r="C44" s="551" t="s">
        <v>1992</v>
      </c>
      <c r="D44" s="552">
        <v>45100.000000000007</v>
      </c>
      <c r="E44" s="832">
        <v>2</v>
      </c>
      <c r="F44" s="832">
        <v>0</v>
      </c>
      <c r="G44" s="680">
        <f t="shared" si="0"/>
        <v>90200.000000000015</v>
      </c>
      <c r="H44" s="681">
        <f t="shared" si="1"/>
        <v>1.7691287041132243E-3</v>
      </c>
      <c r="I44" s="681">
        <f t="shared" si="2"/>
        <v>9.9695806210805572E-4</v>
      </c>
      <c r="J44" s="685"/>
    </row>
    <row r="45" spans="2:10">
      <c r="B45" s="551"/>
      <c r="C45" s="551" t="s">
        <v>2024</v>
      </c>
      <c r="D45" s="552">
        <v>45100.000000000007</v>
      </c>
      <c r="E45" s="832">
        <v>2</v>
      </c>
      <c r="F45" s="832">
        <v>0</v>
      </c>
      <c r="G45" s="680">
        <f t="shared" si="0"/>
        <v>90200.000000000015</v>
      </c>
      <c r="H45" s="681">
        <f t="shared" si="1"/>
        <v>1.7691287041132243E-3</v>
      </c>
      <c r="I45" s="681">
        <f t="shared" si="2"/>
        <v>9.9695806210805572E-4</v>
      </c>
      <c r="J45" s="685"/>
    </row>
    <row r="46" spans="2:10">
      <c r="B46" s="553" t="s">
        <v>2025</v>
      </c>
      <c r="C46" s="553" t="s">
        <v>1411</v>
      </c>
      <c r="D46" s="554">
        <v>52800.000000000007</v>
      </c>
      <c r="E46" s="832">
        <v>1</v>
      </c>
      <c r="F46" s="832">
        <v>0</v>
      </c>
      <c r="G46" s="680">
        <f t="shared" si="0"/>
        <v>52800.000000000007</v>
      </c>
      <c r="H46" s="681">
        <f t="shared" si="1"/>
        <v>8.8456435205661217E-4</v>
      </c>
      <c r="I46" s="681">
        <f t="shared" si="2"/>
        <v>5.8358520708764246E-4</v>
      </c>
      <c r="J46" s="686"/>
    </row>
    <row r="47" spans="2:10">
      <c r="B47" s="553" t="s">
        <v>2026</v>
      </c>
      <c r="C47" s="553" t="s">
        <v>1421</v>
      </c>
      <c r="D47" s="554">
        <v>56100.000000000007</v>
      </c>
      <c r="E47" s="832"/>
      <c r="F47" s="832">
        <v>0</v>
      </c>
      <c r="G47" s="680">
        <f t="shared" si="0"/>
        <v>0</v>
      </c>
      <c r="H47" s="681">
        <f t="shared" si="1"/>
        <v>0</v>
      </c>
      <c r="I47" s="681">
        <f t="shared" si="2"/>
        <v>0</v>
      </c>
      <c r="J47" s="686"/>
    </row>
    <row r="48" spans="2:10">
      <c r="B48" s="553" t="s">
        <v>2027</v>
      </c>
      <c r="C48" s="553" t="s">
        <v>1424</v>
      </c>
      <c r="D48" s="554">
        <v>56100.000000000007</v>
      </c>
      <c r="E48" s="832"/>
      <c r="F48" s="832">
        <v>0</v>
      </c>
      <c r="G48" s="680">
        <f t="shared" si="0"/>
        <v>0</v>
      </c>
      <c r="H48" s="681">
        <f t="shared" si="1"/>
        <v>0</v>
      </c>
      <c r="I48" s="681">
        <f t="shared" si="2"/>
        <v>0</v>
      </c>
      <c r="J48" s="686"/>
    </row>
    <row r="49" spans="2:10">
      <c r="B49" s="553" t="s">
        <v>2028</v>
      </c>
      <c r="C49" s="553" t="s">
        <v>1427</v>
      </c>
      <c r="D49" s="554">
        <v>56100.000000000007</v>
      </c>
      <c r="E49" s="832"/>
      <c r="F49" s="832">
        <v>0</v>
      </c>
      <c r="G49" s="680">
        <f t="shared" si="0"/>
        <v>0</v>
      </c>
      <c r="H49" s="681">
        <f t="shared" si="1"/>
        <v>0</v>
      </c>
      <c r="I49" s="681">
        <f t="shared" si="2"/>
        <v>0</v>
      </c>
      <c r="J49" s="686"/>
    </row>
    <row r="50" spans="2:10">
      <c r="B50" s="553" t="s">
        <v>2029</v>
      </c>
      <c r="C50" s="553" t="s">
        <v>1429</v>
      </c>
      <c r="D50" s="554">
        <v>56100.000000000007</v>
      </c>
      <c r="E50" s="832"/>
      <c r="F50" s="832">
        <v>0</v>
      </c>
      <c r="G50" s="680">
        <f t="shared" si="0"/>
        <v>0</v>
      </c>
      <c r="H50" s="681">
        <f t="shared" si="1"/>
        <v>0</v>
      </c>
      <c r="I50" s="681">
        <f t="shared" si="2"/>
        <v>0</v>
      </c>
      <c r="J50" s="686"/>
    </row>
    <row r="51" spans="2:10">
      <c r="B51" s="553" t="s">
        <v>2030</v>
      </c>
      <c r="C51" s="553" t="s">
        <v>1432</v>
      </c>
      <c r="D51" s="554">
        <v>56100.000000000007</v>
      </c>
      <c r="E51" s="832"/>
      <c r="F51" s="832">
        <v>0</v>
      </c>
      <c r="G51" s="680">
        <f t="shared" si="0"/>
        <v>0</v>
      </c>
      <c r="H51" s="681">
        <f t="shared" si="1"/>
        <v>0</v>
      </c>
      <c r="I51" s="681">
        <f t="shared" si="2"/>
        <v>0</v>
      </c>
      <c r="J51" s="686"/>
    </row>
    <row r="52" spans="2:10">
      <c r="B52" s="553"/>
      <c r="C52" s="553" t="s">
        <v>1993</v>
      </c>
      <c r="D52" s="554">
        <v>52800.000000000007</v>
      </c>
      <c r="E52" s="832"/>
      <c r="F52" s="832">
        <v>0</v>
      </c>
      <c r="G52" s="680">
        <f t="shared" si="0"/>
        <v>0</v>
      </c>
      <c r="H52" s="681">
        <f t="shared" si="1"/>
        <v>0</v>
      </c>
      <c r="I52" s="681">
        <f t="shared" si="2"/>
        <v>0</v>
      </c>
      <c r="J52" s="686"/>
    </row>
    <row r="53" spans="2:10">
      <c r="B53" s="553"/>
      <c r="C53" s="553" t="s">
        <v>2031</v>
      </c>
      <c r="D53" s="554">
        <v>52800.000000000007</v>
      </c>
      <c r="E53" s="832"/>
      <c r="F53" s="832">
        <v>0</v>
      </c>
      <c r="G53" s="680">
        <f t="shared" si="0"/>
        <v>0</v>
      </c>
      <c r="H53" s="681">
        <f t="shared" si="1"/>
        <v>0</v>
      </c>
      <c r="I53" s="681">
        <f t="shared" si="2"/>
        <v>0</v>
      </c>
      <c r="J53" s="686"/>
    </row>
    <row r="54" spans="2:10">
      <c r="B54" s="543" t="s">
        <v>2032</v>
      </c>
      <c r="C54" s="543" t="s">
        <v>1436</v>
      </c>
      <c r="D54" s="556">
        <v>53900.000000000007</v>
      </c>
      <c r="E54" s="832">
        <v>41.5</v>
      </c>
      <c r="F54" s="832">
        <v>6</v>
      </c>
      <c r="G54" s="680">
        <f t="shared" si="0"/>
        <v>2560250.0000000005</v>
      </c>
      <c r="H54" s="681">
        <f t="shared" si="1"/>
        <v>4.2016806722689079E-2</v>
      </c>
      <c r="I54" s="681">
        <f t="shared" si="2"/>
        <v>2.8297803531176828E-2</v>
      </c>
      <c r="J54" s="687"/>
    </row>
    <row r="55" spans="2:10">
      <c r="B55" s="543" t="s">
        <v>2033</v>
      </c>
      <c r="C55" s="543" t="s">
        <v>1438</v>
      </c>
      <c r="D55" s="556">
        <v>60500.000000000007</v>
      </c>
      <c r="E55" s="832">
        <v>0</v>
      </c>
      <c r="F55" s="832">
        <v>0</v>
      </c>
      <c r="G55" s="680">
        <f t="shared" si="0"/>
        <v>0</v>
      </c>
      <c r="H55" s="681">
        <f t="shared" si="1"/>
        <v>0</v>
      </c>
      <c r="I55" s="681">
        <f t="shared" si="2"/>
        <v>0</v>
      </c>
      <c r="J55" s="687"/>
    </row>
    <row r="56" spans="2:10">
      <c r="B56" s="543" t="s">
        <v>2034</v>
      </c>
      <c r="C56" s="543" t="s">
        <v>1442</v>
      </c>
      <c r="D56" s="556">
        <v>60500.000000000007</v>
      </c>
      <c r="E56" s="832">
        <v>86</v>
      </c>
      <c r="F56" s="832">
        <v>10.5</v>
      </c>
      <c r="G56" s="680">
        <f t="shared" si="0"/>
        <v>5838250.0000000009</v>
      </c>
      <c r="H56" s="681">
        <f t="shared" si="1"/>
        <v>8.5360459973463074E-2</v>
      </c>
      <c r="I56" s="681">
        <f t="shared" si="2"/>
        <v>6.4528718471201299E-2</v>
      </c>
      <c r="J56" s="687"/>
    </row>
    <row r="57" spans="2:10">
      <c r="B57" s="543" t="s">
        <v>2035</v>
      </c>
      <c r="C57" s="543" t="s">
        <v>1444</v>
      </c>
      <c r="D57" s="556">
        <v>60500.000000000007</v>
      </c>
      <c r="E57" s="832">
        <v>23</v>
      </c>
      <c r="F57" s="832">
        <v>1</v>
      </c>
      <c r="G57" s="680">
        <f t="shared" si="0"/>
        <v>1452000.0000000002</v>
      </c>
      <c r="H57" s="681">
        <f t="shared" si="1"/>
        <v>2.1229544449358692E-2</v>
      </c>
      <c r="I57" s="681">
        <f t="shared" si="2"/>
        <v>1.6048593194910168E-2</v>
      </c>
      <c r="J57" s="687"/>
    </row>
    <row r="58" spans="2:10">
      <c r="B58" s="543" t="s">
        <v>2036</v>
      </c>
      <c r="C58" s="543" t="s">
        <v>1448</v>
      </c>
      <c r="D58" s="556">
        <v>60500.000000000007</v>
      </c>
      <c r="E58" s="832">
        <v>68</v>
      </c>
      <c r="F58" s="832">
        <v>17</v>
      </c>
      <c r="G58" s="680">
        <f t="shared" si="0"/>
        <v>5142500.0000000009</v>
      </c>
      <c r="H58" s="681">
        <f t="shared" si="1"/>
        <v>7.5187969924812026E-2</v>
      </c>
      <c r="I58" s="681">
        <f t="shared" si="2"/>
        <v>5.6838767565306841E-2</v>
      </c>
      <c r="J58" s="687"/>
    </row>
    <row r="59" spans="2:10">
      <c r="B59" s="543" t="s">
        <v>2037</v>
      </c>
      <c r="C59" s="543" t="s">
        <v>1450</v>
      </c>
      <c r="D59" s="556">
        <v>60500.000000000007</v>
      </c>
      <c r="E59" s="832">
        <v>0</v>
      </c>
      <c r="F59" s="832">
        <v>0</v>
      </c>
      <c r="G59" s="680">
        <f t="shared" si="0"/>
        <v>0</v>
      </c>
      <c r="H59" s="681">
        <f t="shared" si="1"/>
        <v>0</v>
      </c>
      <c r="I59" s="681">
        <f t="shared" si="2"/>
        <v>0</v>
      </c>
      <c r="J59" s="687"/>
    </row>
    <row r="60" spans="2:10">
      <c r="B60" s="543"/>
      <c r="C60" s="543" t="s">
        <v>1994</v>
      </c>
      <c r="D60" s="556">
        <v>53900.000000000007</v>
      </c>
      <c r="E60" s="832">
        <v>31</v>
      </c>
      <c r="F60" s="832">
        <v>2.5</v>
      </c>
      <c r="G60" s="680">
        <f t="shared" si="0"/>
        <v>1805650.0000000002</v>
      </c>
      <c r="H60" s="681">
        <f t="shared" si="1"/>
        <v>2.9632905793896505E-2</v>
      </c>
      <c r="I60" s="681">
        <f t="shared" si="2"/>
        <v>1.9957398279882604E-2</v>
      </c>
      <c r="J60" s="687"/>
    </row>
    <row r="61" spans="2:10">
      <c r="B61" s="543"/>
      <c r="C61" s="543" t="s">
        <v>2038</v>
      </c>
      <c r="D61" s="556">
        <v>53900.000000000007</v>
      </c>
      <c r="E61" s="832">
        <v>33.5</v>
      </c>
      <c r="F61" s="832">
        <v>6</v>
      </c>
      <c r="G61" s="680">
        <f t="shared" si="0"/>
        <v>2129050.0000000005</v>
      </c>
      <c r="H61" s="681">
        <f t="shared" si="1"/>
        <v>3.4940291906236182E-2</v>
      </c>
      <c r="I61" s="681">
        <f t="shared" si="2"/>
        <v>2.3531857673294417E-2</v>
      </c>
      <c r="J61" s="687"/>
    </row>
    <row r="62" spans="2:10">
      <c r="B62" s="557" t="s">
        <v>2039</v>
      </c>
      <c r="C62" s="557" t="s">
        <v>1454</v>
      </c>
      <c r="D62" s="558">
        <v>59400.000000000007</v>
      </c>
      <c r="E62" s="832">
        <v>13</v>
      </c>
      <c r="F62" s="832">
        <v>5</v>
      </c>
      <c r="G62" s="680">
        <f t="shared" si="0"/>
        <v>1069200.0000000002</v>
      </c>
      <c r="H62" s="681">
        <f t="shared" si="1"/>
        <v>1.5922158337019019E-2</v>
      </c>
      <c r="I62" s="681">
        <f t="shared" si="2"/>
        <v>1.181760044352476E-2</v>
      </c>
      <c r="J62" s="688"/>
    </row>
    <row r="63" spans="2:10">
      <c r="B63" s="557" t="s">
        <v>2040</v>
      </c>
      <c r="C63" s="557" t="s">
        <v>1456</v>
      </c>
      <c r="D63" s="558">
        <v>66000</v>
      </c>
      <c r="E63" s="832"/>
      <c r="F63" s="832">
        <v>0</v>
      </c>
      <c r="G63" s="680">
        <f t="shared" si="0"/>
        <v>0</v>
      </c>
      <c r="H63" s="681">
        <f t="shared" si="1"/>
        <v>0</v>
      </c>
      <c r="I63" s="681">
        <f t="shared" si="2"/>
        <v>0</v>
      </c>
      <c r="J63" s="688"/>
    </row>
    <row r="64" spans="2:10">
      <c r="B64" s="557" t="s">
        <v>2041</v>
      </c>
      <c r="C64" s="557" t="s">
        <v>1460</v>
      </c>
      <c r="D64" s="558">
        <v>66000</v>
      </c>
      <c r="E64" s="832">
        <v>13</v>
      </c>
      <c r="F64" s="832">
        <v>8</v>
      </c>
      <c r="G64" s="680">
        <f t="shared" si="0"/>
        <v>1386000</v>
      </c>
      <c r="H64" s="681">
        <f t="shared" si="1"/>
        <v>1.8575851393188854E-2</v>
      </c>
      <c r="I64" s="681">
        <f t="shared" si="2"/>
        <v>1.5319111686050612E-2</v>
      </c>
      <c r="J64" s="688"/>
    </row>
    <row r="65" spans="2:10">
      <c r="B65" s="557" t="s">
        <v>2042</v>
      </c>
      <c r="C65" s="557" t="s">
        <v>1465</v>
      </c>
      <c r="D65" s="558">
        <v>66000</v>
      </c>
      <c r="E65" s="832">
        <v>12</v>
      </c>
      <c r="F65" s="832">
        <v>5</v>
      </c>
      <c r="G65" s="680">
        <f t="shared" si="0"/>
        <v>1122000</v>
      </c>
      <c r="H65" s="681">
        <f t="shared" si="1"/>
        <v>1.5037593984962405E-2</v>
      </c>
      <c r="I65" s="681">
        <f t="shared" si="2"/>
        <v>1.2401185650612399E-2</v>
      </c>
      <c r="J65" s="688"/>
    </row>
    <row r="66" spans="2:10">
      <c r="B66" s="557" t="s">
        <v>2043</v>
      </c>
      <c r="C66" s="557" t="s">
        <v>1462</v>
      </c>
      <c r="D66" s="558">
        <v>66000</v>
      </c>
      <c r="E66" s="832">
        <v>12</v>
      </c>
      <c r="F66" s="832">
        <v>5</v>
      </c>
      <c r="G66" s="680">
        <f t="shared" si="0"/>
        <v>1122000</v>
      </c>
      <c r="H66" s="681">
        <f t="shared" si="1"/>
        <v>1.5037593984962405E-2</v>
      </c>
      <c r="I66" s="681">
        <f t="shared" si="2"/>
        <v>1.2401185650612399E-2</v>
      </c>
      <c r="J66" s="688"/>
    </row>
    <row r="67" spans="2:10">
      <c r="B67" s="557" t="s">
        <v>2044</v>
      </c>
      <c r="C67" s="557" t="s">
        <v>1468</v>
      </c>
      <c r="D67" s="558">
        <v>66000</v>
      </c>
      <c r="E67" s="832"/>
      <c r="F67" s="832">
        <v>0</v>
      </c>
      <c r="G67" s="680">
        <f t="shared" si="0"/>
        <v>0</v>
      </c>
      <c r="H67" s="681">
        <f t="shared" si="1"/>
        <v>0</v>
      </c>
      <c r="I67" s="681">
        <f t="shared" si="2"/>
        <v>0</v>
      </c>
      <c r="J67" s="688"/>
    </row>
    <row r="68" spans="2:10">
      <c r="B68" s="557"/>
      <c r="C68" s="557" t="s">
        <v>1995</v>
      </c>
      <c r="D68" s="558">
        <v>59400.000000000007</v>
      </c>
      <c r="E68" s="832">
        <v>12</v>
      </c>
      <c r="F68" s="832">
        <v>5</v>
      </c>
      <c r="G68" s="680">
        <f t="shared" si="0"/>
        <v>1009800.0000000001</v>
      </c>
      <c r="H68" s="681">
        <f t="shared" si="1"/>
        <v>1.5037593984962405E-2</v>
      </c>
      <c r="I68" s="681">
        <f t="shared" si="2"/>
        <v>1.1161067085551162E-2</v>
      </c>
      <c r="J68" s="688"/>
    </row>
    <row r="69" spans="2:10">
      <c r="B69" s="557"/>
      <c r="C69" s="557" t="s">
        <v>2045</v>
      </c>
      <c r="D69" s="558">
        <v>59400.000000000007</v>
      </c>
      <c r="E69" s="832">
        <v>12</v>
      </c>
      <c r="F69" s="832">
        <v>4</v>
      </c>
      <c r="G69" s="680">
        <f t="shared" si="0"/>
        <v>950400.00000000012</v>
      </c>
      <c r="H69" s="681">
        <f t="shared" si="1"/>
        <v>1.4153029632905795E-2</v>
      </c>
      <c r="I69" s="681">
        <f t="shared" si="2"/>
        <v>1.0504533727577564E-2</v>
      </c>
      <c r="J69" s="688"/>
    </row>
    <row r="70" spans="2:10">
      <c r="B70" s="559" t="s">
        <v>2046</v>
      </c>
      <c r="C70" s="559" t="s">
        <v>1472</v>
      </c>
      <c r="D70" s="560">
        <v>67100</v>
      </c>
      <c r="E70" s="832">
        <v>4</v>
      </c>
      <c r="F70" s="832">
        <v>2</v>
      </c>
      <c r="G70" s="680">
        <f t="shared" si="0"/>
        <v>402600</v>
      </c>
      <c r="H70" s="681">
        <f t="shared" si="1"/>
        <v>5.307386112339673E-3</v>
      </c>
      <c r="I70" s="681">
        <f t="shared" si="2"/>
        <v>4.4498372040432726E-3</v>
      </c>
      <c r="J70" s="689"/>
    </row>
    <row r="71" spans="2:10">
      <c r="B71" s="559" t="s">
        <v>2047</v>
      </c>
      <c r="C71" s="559" t="s">
        <v>1475</v>
      </c>
      <c r="D71" s="560">
        <v>73700</v>
      </c>
      <c r="E71" s="832"/>
      <c r="F71" s="832">
        <v>0</v>
      </c>
      <c r="G71" s="680">
        <f t="shared" si="0"/>
        <v>0</v>
      </c>
      <c r="H71" s="681">
        <f t="shared" si="1"/>
        <v>0</v>
      </c>
      <c r="I71" s="681">
        <f t="shared" si="2"/>
        <v>0</v>
      </c>
      <c r="J71" s="689"/>
    </row>
    <row r="72" spans="2:10">
      <c r="B72" s="559" t="s">
        <v>2048</v>
      </c>
      <c r="C72" s="559" t="s">
        <v>1477</v>
      </c>
      <c r="D72" s="560">
        <v>73700</v>
      </c>
      <c r="E72" s="832">
        <v>4</v>
      </c>
      <c r="F72" s="832">
        <v>1</v>
      </c>
      <c r="G72" s="680">
        <f t="shared" si="0"/>
        <v>368500</v>
      </c>
      <c r="H72" s="681">
        <f t="shared" si="1"/>
        <v>4.4228217602830609E-3</v>
      </c>
      <c r="I72" s="681">
        <f t="shared" si="2"/>
        <v>4.0729384244658374E-3</v>
      </c>
      <c r="J72" s="689"/>
    </row>
    <row r="73" spans="2:10">
      <c r="B73" s="559" t="s">
        <v>2049</v>
      </c>
      <c r="C73" s="559" t="s">
        <v>1480</v>
      </c>
      <c r="D73" s="560">
        <v>73700</v>
      </c>
      <c r="E73" s="832">
        <v>4</v>
      </c>
      <c r="F73" s="832">
        <v>1</v>
      </c>
      <c r="G73" s="680">
        <f t="shared" si="0"/>
        <v>368500</v>
      </c>
      <c r="H73" s="681">
        <f t="shared" si="1"/>
        <v>4.4228217602830609E-3</v>
      </c>
      <c r="I73" s="681">
        <f t="shared" si="2"/>
        <v>4.0729384244658374E-3</v>
      </c>
      <c r="J73" s="689"/>
    </row>
    <row r="74" spans="2:10">
      <c r="B74" s="559" t="s">
        <v>2050</v>
      </c>
      <c r="C74" s="559" t="s">
        <v>1484</v>
      </c>
      <c r="D74" s="560">
        <v>73700</v>
      </c>
      <c r="E74" s="832">
        <v>4</v>
      </c>
      <c r="F74" s="832">
        <v>1</v>
      </c>
      <c r="G74" s="680">
        <f t="shared" si="0"/>
        <v>368500</v>
      </c>
      <c r="H74" s="681">
        <f t="shared" si="1"/>
        <v>4.4228217602830609E-3</v>
      </c>
      <c r="I74" s="681">
        <f t="shared" si="2"/>
        <v>4.0729384244658374E-3</v>
      </c>
      <c r="J74" s="689"/>
    </row>
    <row r="75" spans="2:10">
      <c r="B75" s="559" t="s">
        <v>2051</v>
      </c>
      <c r="C75" s="559" t="s">
        <v>1486</v>
      </c>
      <c r="D75" s="560">
        <v>73700</v>
      </c>
      <c r="E75" s="832"/>
      <c r="F75" s="832">
        <v>0</v>
      </c>
      <c r="G75" s="680">
        <f t="shared" si="0"/>
        <v>0</v>
      </c>
      <c r="H75" s="681">
        <f t="shared" si="1"/>
        <v>0</v>
      </c>
      <c r="I75" s="681">
        <f t="shared" si="2"/>
        <v>0</v>
      </c>
      <c r="J75" s="689"/>
    </row>
    <row r="76" spans="2:10">
      <c r="B76" s="559"/>
      <c r="C76" s="559" t="s">
        <v>1996</v>
      </c>
      <c r="D76" s="560">
        <v>67100</v>
      </c>
      <c r="E76" s="832">
        <v>4</v>
      </c>
      <c r="F76" s="832">
        <v>1</v>
      </c>
      <c r="G76" s="680">
        <f t="shared" si="0"/>
        <v>335500</v>
      </c>
      <c r="H76" s="681">
        <f t="shared" si="1"/>
        <v>4.4228217602830609E-3</v>
      </c>
      <c r="I76" s="681">
        <f t="shared" si="2"/>
        <v>3.7081976700360608E-3</v>
      </c>
      <c r="J76" s="689"/>
    </row>
    <row r="77" spans="2:10">
      <c r="B77" s="559"/>
      <c r="C77" s="559" t="s">
        <v>2052</v>
      </c>
      <c r="D77" s="560">
        <v>67100</v>
      </c>
      <c r="E77" s="832">
        <v>4</v>
      </c>
      <c r="F77" s="832">
        <v>1</v>
      </c>
      <c r="G77" s="680">
        <f t="shared" si="0"/>
        <v>335500</v>
      </c>
      <c r="H77" s="681">
        <f t="shared" si="1"/>
        <v>4.4228217602830609E-3</v>
      </c>
      <c r="I77" s="681">
        <f t="shared" si="2"/>
        <v>3.7081976700360608E-3</v>
      </c>
      <c r="J77" s="689"/>
    </row>
    <row r="78" spans="2:10">
      <c r="B78" s="561" t="s">
        <v>2053</v>
      </c>
      <c r="C78" s="561" t="s">
        <v>1494</v>
      </c>
      <c r="D78" s="562">
        <v>42900</v>
      </c>
      <c r="E78" s="832"/>
      <c r="F78" s="832">
        <v>0</v>
      </c>
      <c r="G78" s="680">
        <f t="shared" ref="G78" si="3">D78*(E78+F78)</f>
        <v>0</v>
      </c>
      <c r="H78" s="681">
        <f t="shared" ref="H78:H122" si="4">(E78+F78)/($E$11+$F$11)</f>
        <v>0</v>
      </c>
      <c r="I78" s="681">
        <f t="shared" ref="I78:I122" si="5">G78/$G$11</f>
        <v>0</v>
      </c>
      <c r="J78" s="690"/>
    </row>
    <row r="79" spans="2:10">
      <c r="B79" s="561" t="s">
        <v>2054</v>
      </c>
      <c r="C79" s="561" t="s">
        <v>1490</v>
      </c>
      <c r="D79" s="562">
        <v>42900</v>
      </c>
      <c r="E79" s="832">
        <v>1</v>
      </c>
      <c r="F79" s="832">
        <v>0</v>
      </c>
      <c r="G79" s="680">
        <f t="shared" ref="G79:G122" si="6">D79*(E79+F79)</f>
        <v>42900</v>
      </c>
      <c r="H79" s="681">
        <f t="shared" si="4"/>
        <v>8.8456435205661217E-4</v>
      </c>
      <c r="I79" s="681">
        <f t="shared" si="5"/>
        <v>4.7416298075870941E-4</v>
      </c>
      <c r="J79" s="690"/>
    </row>
    <row r="80" spans="2:10">
      <c r="B80" s="561" t="s">
        <v>2055</v>
      </c>
      <c r="C80" s="561" t="s">
        <v>1498</v>
      </c>
      <c r="D80" s="562">
        <v>42900</v>
      </c>
      <c r="E80" s="832">
        <v>2</v>
      </c>
      <c r="F80" s="832">
        <v>1</v>
      </c>
      <c r="G80" s="680">
        <f t="shared" si="6"/>
        <v>128700</v>
      </c>
      <c r="H80" s="681">
        <f t="shared" si="4"/>
        <v>2.6536930561698365E-3</v>
      </c>
      <c r="I80" s="681">
        <f t="shared" si="5"/>
        <v>1.4224889422761282E-3</v>
      </c>
      <c r="J80" s="690"/>
    </row>
    <row r="81" spans="2:10">
      <c r="B81" s="561"/>
      <c r="C81" s="561" t="s">
        <v>2056</v>
      </c>
      <c r="D81" s="562">
        <v>42900</v>
      </c>
      <c r="E81" s="832"/>
      <c r="F81" s="832">
        <v>0</v>
      </c>
      <c r="G81" s="680">
        <f t="shared" si="6"/>
        <v>0</v>
      </c>
      <c r="H81" s="681">
        <f t="shared" si="4"/>
        <v>0</v>
      </c>
      <c r="I81" s="681">
        <f t="shared" si="5"/>
        <v>0</v>
      </c>
      <c r="J81" s="690"/>
    </row>
    <row r="82" spans="2:10">
      <c r="B82" s="561"/>
      <c r="C82" s="561" t="s">
        <v>2057</v>
      </c>
      <c r="D82" s="562">
        <v>42900</v>
      </c>
      <c r="E82" s="832">
        <v>3</v>
      </c>
      <c r="F82" s="832">
        <v>2</v>
      </c>
      <c r="G82" s="680">
        <f t="shared" si="6"/>
        <v>214500</v>
      </c>
      <c r="H82" s="681">
        <f t="shared" si="4"/>
        <v>4.4228217602830609E-3</v>
      </c>
      <c r="I82" s="681">
        <f t="shared" si="5"/>
        <v>2.3708149037935471E-3</v>
      </c>
      <c r="J82" s="690"/>
    </row>
    <row r="83" spans="2:10">
      <c r="B83" s="561" t="s">
        <v>2058</v>
      </c>
      <c r="C83" s="561" t="s">
        <v>1418</v>
      </c>
      <c r="D83" s="562">
        <v>31900.000000000004</v>
      </c>
      <c r="E83" s="832">
        <v>82</v>
      </c>
      <c r="F83" s="832">
        <v>26</v>
      </c>
      <c r="G83" s="680">
        <f t="shared" si="6"/>
        <v>3445200.0000000005</v>
      </c>
      <c r="H83" s="681">
        <f t="shared" si="4"/>
        <v>9.5532950022114108E-2</v>
      </c>
      <c r="I83" s="681">
        <f t="shared" si="5"/>
        <v>3.8078934762468666E-2</v>
      </c>
      <c r="J83" s="690"/>
    </row>
    <row r="84" spans="2:10">
      <c r="B84" s="561" t="s">
        <v>2059</v>
      </c>
      <c r="C84" s="561" t="s">
        <v>1504</v>
      </c>
      <c r="D84" s="562">
        <v>42900</v>
      </c>
      <c r="E84" s="832">
        <v>56</v>
      </c>
      <c r="F84" s="832">
        <v>20</v>
      </c>
      <c r="G84" s="680">
        <f t="shared" si="6"/>
        <v>3260400</v>
      </c>
      <c r="H84" s="681">
        <f t="shared" si="4"/>
        <v>6.7226890756302518E-2</v>
      </c>
      <c r="I84" s="681">
        <f t="shared" si="5"/>
        <v>3.6036386537661912E-2</v>
      </c>
      <c r="J84" s="690"/>
    </row>
    <row r="85" spans="2:10">
      <c r="B85" s="561" t="s">
        <v>2060</v>
      </c>
      <c r="C85" s="561" t="s">
        <v>2061</v>
      </c>
      <c r="D85" s="562">
        <v>25300.000000000004</v>
      </c>
      <c r="E85" s="832">
        <v>44.4</v>
      </c>
      <c r="F85" s="832">
        <v>16</v>
      </c>
      <c r="G85" s="680">
        <f t="shared" si="6"/>
        <v>1528120.0000000002</v>
      </c>
      <c r="H85" s="681">
        <f t="shared" si="4"/>
        <v>5.3427686864219372E-2</v>
      </c>
      <c r="I85" s="681">
        <f t="shared" si="5"/>
        <v>1.6889928535128183E-2</v>
      </c>
      <c r="J85" s="690"/>
    </row>
    <row r="86" spans="2:10">
      <c r="B86" s="561" t="s">
        <v>2062</v>
      </c>
      <c r="C86" s="561" t="s">
        <v>2063</v>
      </c>
      <c r="D86" s="562">
        <v>25300.000000000004</v>
      </c>
      <c r="E86" s="832"/>
      <c r="F86" s="832">
        <v>0</v>
      </c>
      <c r="G86" s="680">
        <f t="shared" si="6"/>
        <v>0</v>
      </c>
      <c r="H86" s="681">
        <f t="shared" si="4"/>
        <v>0</v>
      </c>
      <c r="I86" s="681">
        <f t="shared" si="5"/>
        <v>0</v>
      </c>
      <c r="J86" s="690"/>
    </row>
    <row r="87" spans="2:10">
      <c r="B87" s="561" t="s">
        <v>2064</v>
      </c>
      <c r="C87" s="561" t="s">
        <v>2065</v>
      </c>
      <c r="D87" s="562">
        <v>31900.000000000004</v>
      </c>
      <c r="E87" s="832">
        <v>34.5</v>
      </c>
      <c r="F87" s="832">
        <v>28.5</v>
      </c>
      <c r="G87" s="680">
        <f t="shared" si="6"/>
        <v>2009700.0000000002</v>
      </c>
      <c r="H87" s="681">
        <f t="shared" si="4"/>
        <v>5.5727554179566562E-2</v>
      </c>
      <c r="I87" s="681">
        <f t="shared" si="5"/>
        <v>2.2212711944773388E-2</v>
      </c>
      <c r="J87" s="690"/>
    </row>
    <row r="88" spans="2:10">
      <c r="B88" s="561" t="s">
        <v>2066</v>
      </c>
      <c r="C88" s="561" t="s">
        <v>2067</v>
      </c>
      <c r="D88" s="562">
        <v>31900.000000000004</v>
      </c>
      <c r="E88" s="832">
        <v>14.5</v>
      </c>
      <c r="F88" s="832">
        <v>9</v>
      </c>
      <c r="G88" s="680">
        <f t="shared" si="6"/>
        <v>749650.00000000012</v>
      </c>
      <c r="H88" s="681">
        <f t="shared" si="4"/>
        <v>2.0787262273330383E-2</v>
      </c>
      <c r="I88" s="681">
        <f t="shared" si="5"/>
        <v>8.2856941381297573E-3</v>
      </c>
      <c r="J88" s="690"/>
    </row>
    <row r="89" spans="2:10">
      <c r="B89" s="561" t="s">
        <v>2068</v>
      </c>
      <c r="C89" s="561" t="s">
        <v>2069</v>
      </c>
      <c r="D89" s="562">
        <v>25300.000000000004</v>
      </c>
      <c r="E89" s="832">
        <v>17</v>
      </c>
      <c r="F89" s="832">
        <v>10</v>
      </c>
      <c r="G89" s="680">
        <f t="shared" si="6"/>
        <v>683100.00000000012</v>
      </c>
      <c r="H89" s="681">
        <f t="shared" si="4"/>
        <v>2.3883237505528527E-2</v>
      </c>
      <c r="I89" s="681">
        <f t="shared" si="5"/>
        <v>7.5501336166963742E-3</v>
      </c>
      <c r="J89" s="690"/>
    </row>
    <row r="90" spans="2:10">
      <c r="B90" s="561" t="s">
        <v>2070</v>
      </c>
      <c r="C90" s="561" t="s">
        <v>2071</v>
      </c>
      <c r="D90" s="562">
        <v>29700.000000000004</v>
      </c>
      <c r="E90" s="832"/>
      <c r="F90" s="832">
        <v>0</v>
      </c>
      <c r="G90" s="680">
        <f t="shared" si="6"/>
        <v>0</v>
      </c>
      <c r="H90" s="681">
        <f t="shared" si="4"/>
        <v>0</v>
      </c>
      <c r="I90" s="681">
        <f t="shared" si="5"/>
        <v>0</v>
      </c>
      <c r="J90" s="690"/>
    </row>
    <row r="91" spans="2:10">
      <c r="B91" s="561" t="s">
        <v>2072</v>
      </c>
      <c r="C91" s="561" t="s">
        <v>2073</v>
      </c>
      <c r="D91" s="562">
        <v>29700.000000000004</v>
      </c>
      <c r="E91" s="832"/>
      <c r="F91" s="832">
        <v>0</v>
      </c>
      <c r="G91" s="680">
        <f t="shared" si="6"/>
        <v>0</v>
      </c>
      <c r="H91" s="681">
        <f t="shared" si="4"/>
        <v>0</v>
      </c>
      <c r="I91" s="681">
        <f t="shared" si="5"/>
        <v>0</v>
      </c>
      <c r="J91" s="690"/>
    </row>
    <row r="92" spans="2:10">
      <c r="B92" s="561"/>
      <c r="C92" s="561" t="s">
        <v>2074</v>
      </c>
      <c r="D92" s="562">
        <v>29700.000000000004</v>
      </c>
      <c r="E92" s="832">
        <v>9</v>
      </c>
      <c r="F92" s="832">
        <v>4</v>
      </c>
      <c r="G92" s="680">
        <f t="shared" si="6"/>
        <v>386100.00000000006</v>
      </c>
      <c r="H92" s="681">
        <f t="shared" si="4"/>
        <v>1.1499336576735958E-2</v>
      </c>
      <c r="I92" s="681">
        <f t="shared" si="5"/>
        <v>4.2674668268283854E-3</v>
      </c>
      <c r="J92" s="690"/>
    </row>
    <row r="93" spans="2:10">
      <c r="B93" s="561"/>
      <c r="C93" s="561" t="s">
        <v>2090</v>
      </c>
      <c r="D93" s="562">
        <v>29700.000000000004</v>
      </c>
      <c r="E93" s="832">
        <v>2</v>
      </c>
      <c r="F93" s="832">
        <v>2</v>
      </c>
      <c r="G93" s="680">
        <f t="shared" si="6"/>
        <v>118800.00000000001</v>
      </c>
      <c r="H93" s="681">
        <f t="shared" si="4"/>
        <v>3.5382574082264487E-3</v>
      </c>
      <c r="I93" s="681">
        <f t="shared" si="5"/>
        <v>1.3130667159471955E-3</v>
      </c>
      <c r="J93" s="690"/>
    </row>
    <row r="94" spans="2:10">
      <c r="B94" s="561" t="s">
        <v>2075</v>
      </c>
      <c r="C94" s="561" t="s">
        <v>2076</v>
      </c>
      <c r="D94" s="562">
        <v>39600</v>
      </c>
      <c r="E94" s="832"/>
      <c r="F94" s="832">
        <v>0</v>
      </c>
      <c r="G94" s="680">
        <f t="shared" si="6"/>
        <v>0</v>
      </c>
      <c r="H94" s="681">
        <f t="shared" si="4"/>
        <v>0</v>
      </c>
      <c r="I94" s="681">
        <f t="shared" si="5"/>
        <v>0</v>
      </c>
      <c r="J94" s="690"/>
    </row>
    <row r="95" spans="2:10">
      <c r="B95" s="561" t="s">
        <v>2077</v>
      </c>
      <c r="C95" s="561" t="s">
        <v>2078</v>
      </c>
      <c r="D95" s="562">
        <v>39600</v>
      </c>
      <c r="E95" s="832"/>
      <c r="F95" s="832">
        <v>0</v>
      </c>
      <c r="G95" s="680">
        <f t="shared" si="6"/>
        <v>0</v>
      </c>
      <c r="H95" s="681">
        <f t="shared" si="4"/>
        <v>0</v>
      </c>
      <c r="I95" s="681">
        <f t="shared" si="5"/>
        <v>0</v>
      </c>
      <c r="J95" s="690"/>
    </row>
    <row r="96" spans="2:10">
      <c r="B96" s="561"/>
      <c r="C96" s="561" t="s">
        <v>2079</v>
      </c>
      <c r="D96" s="562">
        <v>39600</v>
      </c>
      <c r="E96" s="832">
        <v>11</v>
      </c>
      <c r="F96" s="832">
        <v>7</v>
      </c>
      <c r="G96" s="680">
        <f t="shared" si="6"/>
        <v>712800</v>
      </c>
      <c r="H96" s="681">
        <f t="shared" si="4"/>
        <v>1.5922158337019019E-2</v>
      </c>
      <c r="I96" s="681">
        <f t="shared" si="5"/>
        <v>7.8784002956831713E-3</v>
      </c>
      <c r="J96" s="690"/>
    </row>
    <row r="97" spans="2:10">
      <c r="B97" s="561"/>
      <c r="C97" s="561" t="s">
        <v>2091</v>
      </c>
      <c r="D97" s="562">
        <v>39600</v>
      </c>
      <c r="E97" s="832">
        <v>4</v>
      </c>
      <c r="F97" s="832">
        <v>0</v>
      </c>
      <c r="G97" s="680">
        <f t="shared" si="6"/>
        <v>158400</v>
      </c>
      <c r="H97" s="681">
        <f t="shared" si="4"/>
        <v>3.5382574082264487E-3</v>
      </c>
      <c r="I97" s="681">
        <f t="shared" si="5"/>
        <v>1.7507556212629271E-3</v>
      </c>
      <c r="J97" s="690"/>
    </row>
    <row r="98" spans="2:10">
      <c r="B98" s="561" t="s">
        <v>2080</v>
      </c>
      <c r="C98" s="561" t="s">
        <v>2081</v>
      </c>
      <c r="D98" s="562">
        <v>19800</v>
      </c>
      <c r="E98" s="832">
        <v>21</v>
      </c>
      <c r="F98" s="832">
        <v>4</v>
      </c>
      <c r="G98" s="680">
        <f t="shared" si="6"/>
        <v>495000</v>
      </c>
      <c r="H98" s="681">
        <f t="shared" si="4"/>
        <v>2.2114108801415303E-2</v>
      </c>
      <c r="I98" s="681">
        <f t="shared" si="5"/>
        <v>5.4711113164466465E-3</v>
      </c>
      <c r="J98" s="690"/>
    </row>
    <row r="99" spans="2:10">
      <c r="B99" s="561" t="s">
        <v>2082</v>
      </c>
      <c r="C99" s="561" t="s">
        <v>2083</v>
      </c>
      <c r="D99" s="562">
        <v>19800</v>
      </c>
      <c r="E99" s="832">
        <v>40</v>
      </c>
      <c r="F99" s="832">
        <v>12</v>
      </c>
      <c r="G99" s="680">
        <f t="shared" si="6"/>
        <v>1029600</v>
      </c>
      <c r="H99" s="681">
        <f t="shared" si="4"/>
        <v>4.5997346306943833E-2</v>
      </c>
      <c r="I99" s="681">
        <f t="shared" si="5"/>
        <v>1.1379911538209025E-2</v>
      </c>
      <c r="J99" s="690"/>
    </row>
    <row r="100" spans="2:10">
      <c r="B100" s="561" t="s">
        <v>2084</v>
      </c>
      <c r="C100" s="561" t="s">
        <v>2085</v>
      </c>
      <c r="D100" s="562">
        <v>19800</v>
      </c>
      <c r="E100" s="832">
        <v>7</v>
      </c>
      <c r="F100" s="832">
        <v>0</v>
      </c>
      <c r="G100" s="680">
        <f t="shared" si="6"/>
        <v>138600</v>
      </c>
      <c r="H100" s="681">
        <f t="shared" si="4"/>
        <v>6.1919504643962852E-3</v>
      </c>
      <c r="I100" s="681">
        <f t="shared" si="5"/>
        <v>1.5319111686050611E-3</v>
      </c>
      <c r="J100" s="690"/>
    </row>
    <row r="101" spans="2:10">
      <c r="B101" s="561" t="s">
        <v>2086</v>
      </c>
      <c r="C101" s="818" t="s">
        <v>1869</v>
      </c>
      <c r="D101" s="820">
        <v>11000</v>
      </c>
      <c r="E101" s="832">
        <v>398</v>
      </c>
      <c r="F101" s="832">
        <v>92</v>
      </c>
      <c r="G101" s="680">
        <f t="shared" si="6"/>
        <v>5390000</v>
      </c>
      <c r="H101" s="681">
        <f t="shared" si="4"/>
        <v>0.43343653250773995</v>
      </c>
      <c r="I101" s="681">
        <f t="shared" si="5"/>
        <v>5.9574323223530158E-2</v>
      </c>
      <c r="J101" s="819"/>
    </row>
    <row r="102" spans="2:10">
      <c r="B102" s="561" t="s">
        <v>2087</v>
      </c>
      <c r="C102" s="818" t="s">
        <v>1873</v>
      </c>
      <c r="D102" s="820">
        <v>33000</v>
      </c>
      <c r="E102" s="832">
        <v>42</v>
      </c>
      <c r="F102" s="832">
        <v>10</v>
      </c>
      <c r="G102" s="680">
        <f t="shared" si="6"/>
        <v>1716000</v>
      </c>
      <c r="H102" s="681">
        <f t="shared" si="4"/>
        <v>4.5997346306943833E-2</v>
      </c>
      <c r="I102" s="681">
        <f t="shared" si="5"/>
        <v>1.8966519230348377E-2</v>
      </c>
      <c r="J102" s="819"/>
    </row>
    <row r="103" spans="2:10">
      <c r="B103" s="821" t="s">
        <v>2088</v>
      </c>
      <c r="C103" s="822" t="s">
        <v>1883</v>
      </c>
      <c r="D103" s="823">
        <v>17600</v>
      </c>
      <c r="E103" s="832">
        <v>10</v>
      </c>
      <c r="F103" s="832">
        <v>3</v>
      </c>
      <c r="G103" s="824">
        <f t="shared" si="6"/>
        <v>228800</v>
      </c>
      <c r="H103" s="825">
        <f t="shared" si="4"/>
        <v>1.1499336576735958E-2</v>
      </c>
      <c r="I103" s="825">
        <f t="shared" si="5"/>
        <v>2.528869230713117E-3</v>
      </c>
      <c r="J103" s="826"/>
    </row>
    <row r="104" spans="2:10">
      <c r="B104" s="821" t="s">
        <v>2089</v>
      </c>
      <c r="C104" s="822" t="s">
        <v>1885</v>
      </c>
      <c r="D104" s="823">
        <v>17600</v>
      </c>
      <c r="E104" s="832">
        <v>3</v>
      </c>
      <c r="F104" s="832">
        <v>0</v>
      </c>
      <c r="G104" s="824">
        <f t="shared" si="6"/>
        <v>52800</v>
      </c>
      <c r="H104" s="825">
        <f t="shared" si="4"/>
        <v>2.6536930561698365E-3</v>
      </c>
      <c r="I104" s="825">
        <f t="shared" si="5"/>
        <v>5.8358520708764235E-4</v>
      </c>
      <c r="J104" s="826"/>
    </row>
    <row r="105" spans="2:10">
      <c r="B105" s="821" t="s">
        <v>1944</v>
      </c>
      <c r="C105" s="822" t="s">
        <v>1887</v>
      </c>
      <c r="D105" s="823">
        <v>17600</v>
      </c>
      <c r="E105" s="832">
        <v>3</v>
      </c>
      <c r="F105" s="832">
        <v>0</v>
      </c>
      <c r="G105" s="824">
        <f t="shared" si="6"/>
        <v>52800</v>
      </c>
      <c r="H105" s="825">
        <f t="shared" si="4"/>
        <v>2.6536930561698365E-3</v>
      </c>
      <c r="I105" s="825">
        <f t="shared" si="5"/>
        <v>5.8358520708764235E-4</v>
      </c>
      <c r="J105" s="826"/>
    </row>
    <row r="106" spans="2:10">
      <c r="B106" s="821" t="s">
        <v>1946</v>
      </c>
      <c r="C106" s="822" t="s">
        <v>1889</v>
      </c>
      <c r="D106" s="823">
        <v>17600</v>
      </c>
      <c r="E106" s="832">
        <v>17</v>
      </c>
      <c r="F106" s="832">
        <v>1</v>
      </c>
      <c r="G106" s="824">
        <f t="shared" si="6"/>
        <v>316800</v>
      </c>
      <c r="H106" s="825">
        <f t="shared" si="4"/>
        <v>1.5922158337019019E-2</v>
      </c>
      <c r="I106" s="825">
        <f t="shared" si="5"/>
        <v>3.5015112425258541E-3</v>
      </c>
      <c r="J106" s="826"/>
    </row>
    <row r="107" spans="2:10">
      <c r="B107" s="821" t="s">
        <v>1948</v>
      </c>
      <c r="C107" s="822" t="s">
        <v>1901</v>
      </c>
      <c r="D107" s="823">
        <v>17600</v>
      </c>
      <c r="E107" s="832">
        <v>19</v>
      </c>
      <c r="F107" s="832">
        <v>0</v>
      </c>
      <c r="G107" s="824">
        <f t="shared" si="6"/>
        <v>334400</v>
      </c>
      <c r="H107" s="825">
        <f t="shared" si="4"/>
        <v>1.680672268907563E-2</v>
      </c>
      <c r="I107" s="825">
        <f t="shared" si="5"/>
        <v>3.6960396448884013E-3</v>
      </c>
      <c r="J107" s="826"/>
    </row>
    <row r="108" spans="2:10">
      <c r="B108" s="821" t="s">
        <v>1950</v>
      </c>
      <c r="C108" s="822" t="s">
        <v>1904</v>
      </c>
      <c r="D108" s="823">
        <v>17600</v>
      </c>
      <c r="E108" s="832">
        <v>3</v>
      </c>
      <c r="F108" s="832">
        <v>0</v>
      </c>
      <c r="G108" s="824">
        <f t="shared" si="6"/>
        <v>52800</v>
      </c>
      <c r="H108" s="825">
        <f t="shared" si="4"/>
        <v>2.6536930561698365E-3</v>
      </c>
      <c r="I108" s="825">
        <f t="shared" si="5"/>
        <v>5.8358520708764235E-4</v>
      </c>
      <c r="J108" s="826"/>
    </row>
    <row r="109" spans="2:10">
      <c r="B109" s="821" t="s">
        <v>1952</v>
      </c>
      <c r="C109" s="822" t="s">
        <v>1906</v>
      </c>
      <c r="D109" s="823">
        <v>17600</v>
      </c>
      <c r="E109" s="832">
        <v>2</v>
      </c>
      <c r="F109" s="832">
        <v>0</v>
      </c>
      <c r="G109" s="824">
        <f t="shared" si="6"/>
        <v>35200</v>
      </c>
      <c r="H109" s="825">
        <f t="shared" si="4"/>
        <v>1.7691287041132243E-3</v>
      </c>
      <c r="I109" s="825">
        <f t="shared" si="5"/>
        <v>3.8905680472509492E-4</v>
      </c>
      <c r="J109" s="826"/>
    </row>
    <row r="110" spans="2:10">
      <c r="B110" s="821" t="s">
        <v>1954</v>
      </c>
      <c r="C110" s="822" t="s">
        <v>1911</v>
      </c>
      <c r="D110" s="823">
        <v>17600</v>
      </c>
      <c r="E110" s="832">
        <v>3</v>
      </c>
      <c r="F110" s="832">
        <v>0</v>
      </c>
      <c r="G110" s="824">
        <f t="shared" si="6"/>
        <v>52800</v>
      </c>
      <c r="H110" s="825">
        <f t="shared" si="4"/>
        <v>2.6536930561698365E-3</v>
      </c>
      <c r="I110" s="825">
        <f t="shared" si="5"/>
        <v>5.8358520708764235E-4</v>
      </c>
      <c r="J110" s="826"/>
    </row>
    <row r="111" spans="2:10">
      <c r="B111" s="821" t="s">
        <v>1956</v>
      </c>
      <c r="C111" s="822" t="s">
        <v>1913</v>
      </c>
      <c r="D111" s="823">
        <v>17600</v>
      </c>
      <c r="E111" s="832">
        <v>2</v>
      </c>
      <c r="F111" s="832">
        <v>0</v>
      </c>
      <c r="G111" s="824">
        <f t="shared" si="6"/>
        <v>35200</v>
      </c>
      <c r="H111" s="825">
        <f t="shared" si="4"/>
        <v>1.7691287041132243E-3</v>
      </c>
      <c r="I111" s="825">
        <f t="shared" si="5"/>
        <v>3.8905680472509492E-4</v>
      </c>
      <c r="J111" s="826"/>
    </row>
    <row r="112" spans="2:10">
      <c r="B112" s="821" t="s">
        <v>1958</v>
      </c>
      <c r="C112" s="822" t="s">
        <v>1911</v>
      </c>
      <c r="D112" s="823">
        <v>17600</v>
      </c>
      <c r="E112" s="832">
        <v>3</v>
      </c>
      <c r="F112" s="832">
        <v>0</v>
      </c>
      <c r="G112" s="824">
        <f t="shared" si="6"/>
        <v>52800</v>
      </c>
      <c r="H112" s="825">
        <f t="shared" si="4"/>
        <v>2.6536930561698365E-3</v>
      </c>
      <c r="I112" s="825">
        <f t="shared" si="5"/>
        <v>5.8358520708764235E-4</v>
      </c>
      <c r="J112" s="826"/>
    </row>
    <row r="113" spans="2:10">
      <c r="B113" s="821" t="s">
        <v>1960</v>
      </c>
      <c r="C113" s="822" t="s">
        <v>1915</v>
      </c>
      <c r="D113" s="823">
        <v>17600</v>
      </c>
      <c r="E113" s="832">
        <v>2</v>
      </c>
      <c r="F113" s="832">
        <v>0</v>
      </c>
      <c r="G113" s="824">
        <f t="shared" si="6"/>
        <v>35200</v>
      </c>
      <c r="H113" s="825">
        <f t="shared" si="4"/>
        <v>1.7691287041132243E-3</v>
      </c>
      <c r="I113" s="825">
        <f t="shared" si="5"/>
        <v>3.8905680472509492E-4</v>
      </c>
      <c r="J113" s="826"/>
    </row>
    <row r="114" spans="2:10">
      <c r="B114" s="821" t="s">
        <v>1962</v>
      </c>
      <c r="C114" s="822" t="s">
        <v>1918</v>
      </c>
      <c r="D114" s="823">
        <v>17600</v>
      </c>
      <c r="E114" s="832"/>
      <c r="F114" s="832">
        <v>0</v>
      </c>
      <c r="G114" s="824">
        <f t="shared" si="6"/>
        <v>0</v>
      </c>
      <c r="H114" s="825">
        <f t="shared" si="4"/>
        <v>0</v>
      </c>
      <c r="I114" s="825">
        <f t="shared" si="5"/>
        <v>0</v>
      </c>
      <c r="J114" s="826"/>
    </row>
    <row r="115" spans="2:10">
      <c r="B115" s="821" t="s">
        <v>1964</v>
      </c>
      <c r="C115" s="822" t="s">
        <v>1921</v>
      </c>
      <c r="D115" s="823">
        <v>22000</v>
      </c>
      <c r="E115" s="832">
        <v>3</v>
      </c>
      <c r="F115" s="832">
        <v>0</v>
      </c>
      <c r="G115" s="824">
        <f t="shared" si="6"/>
        <v>66000</v>
      </c>
      <c r="H115" s="825">
        <f t="shared" si="4"/>
        <v>2.6536930561698365E-3</v>
      </c>
      <c r="I115" s="825">
        <f t="shared" si="5"/>
        <v>7.2948150885955294E-4</v>
      </c>
      <c r="J115" s="826"/>
    </row>
    <row r="116" spans="2:10">
      <c r="B116" s="821" t="s">
        <v>1966</v>
      </c>
      <c r="C116" s="822" t="s">
        <v>1926</v>
      </c>
      <c r="D116" s="823">
        <v>16500</v>
      </c>
      <c r="E116" s="832"/>
      <c r="F116" s="832">
        <v>0</v>
      </c>
      <c r="G116" s="824">
        <f t="shared" si="6"/>
        <v>0</v>
      </c>
      <c r="H116" s="825">
        <f t="shared" si="4"/>
        <v>0</v>
      </c>
      <c r="I116" s="825">
        <f t="shared" si="5"/>
        <v>0</v>
      </c>
      <c r="J116" s="826"/>
    </row>
    <row r="117" spans="2:10">
      <c r="B117" s="821" t="s">
        <v>1968</v>
      </c>
      <c r="C117" s="822" t="s">
        <v>1926</v>
      </c>
      <c r="D117" s="823">
        <v>16500</v>
      </c>
      <c r="E117" s="832"/>
      <c r="F117" s="832">
        <v>0</v>
      </c>
      <c r="G117" s="824">
        <f t="shared" si="6"/>
        <v>0</v>
      </c>
      <c r="H117" s="825">
        <f t="shared" si="4"/>
        <v>0</v>
      </c>
      <c r="I117" s="825">
        <f t="shared" si="5"/>
        <v>0</v>
      </c>
      <c r="J117" s="826"/>
    </row>
    <row r="118" spans="2:10">
      <c r="B118" s="821" t="s">
        <v>1970</v>
      </c>
      <c r="C118" s="822" t="s">
        <v>1930</v>
      </c>
      <c r="D118" s="823">
        <v>16500</v>
      </c>
      <c r="E118" s="832"/>
      <c r="F118" s="832">
        <v>0</v>
      </c>
      <c r="G118" s="824">
        <f t="shared" si="6"/>
        <v>0</v>
      </c>
      <c r="H118" s="825">
        <f t="shared" si="4"/>
        <v>0</v>
      </c>
      <c r="I118" s="825">
        <f t="shared" si="5"/>
        <v>0</v>
      </c>
      <c r="J118" s="826"/>
    </row>
    <row r="119" spans="2:10">
      <c r="B119" s="821" t="s">
        <v>1972</v>
      </c>
      <c r="C119" s="822" t="s">
        <v>1930</v>
      </c>
      <c r="D119" s="823">
        <v>16500</v>
      </c>
      <c r="E119" s="832"/>
      <c r="F119" s="832">
        <v>0</v>
      </c>
      <c r="G119" s="824">
        <f t="shared" si="6"/>
        <v>0</v>
      </c>
      <c r="H119" s="825">
        <f t="shared" si="4"/>
        <v>0</v>
      </c>
      <c r="I119" s="825">
        <f t="shared" si="5"/>
        <v>0</v>
      </c>
      <c r="J119" s="826"/>
    </row>
    <row r="120" spans="2:10">
      <c r="B120" s="821" t="s">
        <v>1974</v>
      </c>
      <c r="C120" s="822" t="s">
        <v>1932</v>
      </c>
      <c r="D120" s="823">
        <v>14300.000000000002</v>
      </c>
      <c r="E120" s="832">
        <v>13</v>
      </c>
      <c r="F120" s="832">
        <v>4</v>
      </c>
      <c r="G120" s="824">
        <f t="shared" si="6"/>
        <v>243100.00000000003</v>
      </c>
      <c r="H120" s="825">
        <f t="shared" si="4"/>
        <v>1.5037593984962405E-2</v>
      </c>
      <c r="I120" s="825">
        <f t="shared" si="5"/>
        <v>2.6869235576326869E-3</v>
      </c>
      <c r="J120" s="826"/>
    </row>
    <row r="121" spans="2:10">
      <c r="B121" s="821" t="s">
        <v>1976</v>
      </c>
      <c r="C121" s="822" t="s">
        <v>1932</v>
      </c>
      <c r="D121" s="823">
        <v>14300.000000000002</v>
      </c>
      <c r="E121" s="832">
        <v>19</v>
      </c>
      <c r="F121" s="832">
        <v>2</v>
      </c>
      <c r="G121" s="824">
        <f t="shared" si="6"/>
        <v>300300.00000000006</v>
      </c>
      <c r="H121" s="825">
        <f t="shared" si="4"/>
        <v>1.8575851393188854E-2</v>
      </c>
      <c r="I121" s="825">
        <f t="shared" si="5"/>
        <v>3.3191408653109665E-3</v>
      </c>
      <c r="J121" s="826"/>
    </row>
    <row r="122" spans="2:10">
      <c r="B122" s="821" t="s">
        <v>1978</v>
      </c>
      <c r="C122" s="822" t="s">
        <v>1939</v>
      </c>
      <c r="D122" s="823">
        <v>8800</v>
      </c>
      <c r="E122" s="832">
        <v>57</v>
      </c>
      <c r="F122" s="832">
        <v>4</v>
      </c>
      <c r="G122" s="824">
        <f t="shared" si="6"/>
        <v>536800</v>
      </c>
      <c r="H122" s="825">
        <f t="shared" si="4"/>
        <v>5.3958425475453341E-2</v>
      </c>
      <c r="I122" s="825">
        <f t="shared" si="5"/>
        <v>5.9331162720576971E-3</v>
      </c>
      <c r="J122" s="826"/>
    </row>
  </sheetData>
  <autoFilter ref="B13:I13" xr:uid="{862D6DD1-B442-4F0B-8884-BDF828AC2EDE}"/>
  <mergeCells count="6">
    <mergeCell ref="J12:J13"/>
    <mergeCell ref="E12:G12"/>
    <mergeCell ref="H12:I12"/>
    <mergeCell ref="E10:G10"/>
    <mergeCell ref="D4:E4"/>
    <mergeCell ref="D6:E6"/>
  </mergeCells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70EE4-BD5E-40B7-8A3F-C059F098CED3}">
  <sheetPr>
    <tabColor rgb="FFC00000"/>
  </sheetPr>
  <dimension ref="B2:N97"/>
  <sheetViews>
    <sheetView showGridLines="0" zoomScale="80" zoomScaleNormal="80" workbookViewId="0">
      <selection activeCell="C8" sqref="C8"/>
    </sheetView>
  </sheetViews>
  <sheetFormatPr defaultRowHeight="14.25"/>
  <cols>
    <col min="2" max="2" width="8.796875" customWidth="1"/>
    <col min="3" max="3" width="51.19921875" customWidth="1"/>
    <col min="8" max="8" width="10.6640625" bestFit="1" customWidth="1"/>
  </cols>
  <sheetData>
    <row r="2" spans="2:14">
      <c r="C2" s="1"/>
      <c r="D2" s="185"/>
      <c r="G2" s="185"/>
    </row>
    <row r="3" spans="2:14" ht="25.5">
      <c r="B3" s="45" t="s">
        <v>650</v>
      </c>
      <c r="C3" s="1"/>
      <c r="D3" s="185"/>
      <c r="G3" s="185"/>
    </row>
    <row r="4" spans="2:14" ht="25.5">
      <c r="B4" s="45"/>
      <c r="C4" s="1"/>
      <c r="D4" s="185"/>
      <c r="G4" s="185"/>
    </row>
    <row r="5" spans="2:14" ht="14.65" thickBot="1">
      <c r="B5" s="223" t="s">
        <v>1323</v>
      </c>
      <c r="C5" s="479" t="s">
        <v>2119</v>
      </c>
      <c r="D5" s="185"/>
      <c r="G5" s="185"/>
      <c r="I5" s="223" t="s">
        <v>756</v>
      </c>
      <c r="J5" s="223"/>
      <c r="K5" s="35"/>
      <c r="L5" s="35"/>
      <c r="M5" s="702" t="e">
        <f>L9</f>
        <v>#DIV/0!</v>
      </c>
      <c r="N5" s="35"/>
    </row>
    <row r="6" spans="2:14" ht="26.25" thickTop="1" thickBot="1">
      <c r="B6" s="45"/>
      <c r="C6" s="1"/>
      <c r="D6" s="185"/>
      <c r="G6" s="185"/>
      <c r="I6" s="224" t="s">
        <v>1807</v>
      </c>
      <c r="J6" s="224"/>
      <c r="K6" s="222"/>
      <c r="L6" s="222"/>
      <c r="M6" s="696">
        <f>AVERAGE(H11:I97)</f>
        <v>0.36524284238425486</v>
      </c>
      <c r="N6" s="222"/>
    </row>
    <row r="7" spans="2:14" ht="15" thickTop="1" thickBot="1">
      <c r="B7" s="223" t="s">
        <v>1316</v>
      </c>
      <c r="C7" s="479" t="s">
        <v>2120</v>
      </c>
      <c r="D7" s="185"/>
      <c r="G7" s="185"/>
    </row>
    <row r="8" spans="2:14" ht="14.65" thickTop="1">
      <c r="C8" s="1"/>
      <c r="D8" s="480"/>
      <c r="E8" s="478"/>
      <c r="F8" s="478"/>
      <c r="G8" s="185"/>
      <c r="K8" s="220"/>
      <c r="L8" s="220"/>
    </row>
    <row r="9" spans="2:14" ht="25.8" customHeight="1">
      <c r="B9" s="890" t="s">
        <v>652</v>
      </c>
      <c r="C9" s="537" t="s">
        <v>1302</v>
      </c>
      <c r="D9" s="698" t="s">
        <v>651</v>
      </c>
      <c r="E9" s="699">
        <v>0.1</v>
      </c>
      <c r="F9" s="891" t="s">
        <v>755</v>
      </c>
      <c r="G9" s="891"/>
      <c r="H9" s="840" t="s">
        <v>657</v>
      </c>
      <c r="I9" s="840"/>
      <c r="J9" s="892" t="s">
        <v>754</v>
      </c>
      <c r="K9" s="892"/>
      <c r="L9" s="700" t="e">
        <f>AVERAGE(L11:L97)</f>
        <v>#DIV/0!</v>
      </c>
      <c r="M9" s="840" t="s">
        <v>912</v>
      </c>
      <c r="N9" s="840"/>
    </row>
    <row r="10" spans="2:14" ht="26.25">
      <c r="B10" s="840"/>
      <c r="C10" s="537" t="s">
        <v>654</v>
      </c>
      <c r="D10" s="701" t="s">
        <v>653</v>
      </c>
      <c r="E10" s="697" t="s">
        <v>1187</v>
      </c>
      <c r="F10" s="697" t="s">
        <v>1309</v>
      </c>
      <c r="G10" s="701" t="s">
        <v>1308</v>
      </c>
      <c r="H10" s="697" t="s">
        <v>1309</v>
      </c>
      <c r="I10" s="537" t="s">
        <v>1308</v>
      </c>
      <c r="J10" s="538" t="s">
        <v>1309</v>
      </c>
      <c r="K10" s="539" t="s">
        <v>1308</v>
      </c>
      <c r="L10" s="537" t="s">
        <v>1314</v>
      </c>
      <c r="M10" s="840"/>
      <c r="N10" s="840"/>
    </row>
    <row r="11" spans="2:14">
      <c r="B11" s="703" t="s">
        <v>1366</v>
      </c>
      <c r="C11" s="703" t="str">
        <f>VLOOKUP(B11,COSTING!$B$10:$L$913,2)</f>
        <v>Golden Fried Chicken (1pc) - Ala carte</v>
      </c>
      <c r="D11" s="703">
        <f>VLOOKUP(B11,COSTING!$B$8:$N$913,3,)</f>
        <v>23100.000000000004</v>
      </c>
      <c r="E11" s="704">
        <v>21000</v>
      </c>
      <c r="F11" s="704">
        <f>VLOOKUP(B11,COSTING!$B$8:$N$913,5,)</f>
        <v>8740.4869028554167</v>
      </c>
      <c r="G11" s="704">
        <f>VLOOKUP(B11,COSTING!$B$8:$N$913,6,)</f>
        <v>8810.4869028554167</v>
      </c>
      <c r="H11" s="705">
        <f>VLOOKUP(B11,COSTING!$B$8:$N$913,7,)</f>
        <v>0.41621366204073412</v>
      </c>
      <c r="I11" s="705">
        <f>VLOOKUP(B11,COSTING!$B$8:$N$913,8,)</f>
        <v>0.41954699537406748</v>
      </c>
      <c r="J11" s="704">
        <f>VLOOKUP(B11,COSTING!$B$8:$N$913,9,)</f>
        <v>24</v>
      </c>
      <c r="K11" s="704">
        <f>VLOOKUP(B11,COSTING!$B$8:$N$913,10,)</f>
        <v>17</v>
      </c>
      <c r="L11" s="705">
        <f>VLOOKUP(B11,COSTING!$B$8:$N$913,11,)</f>
        <v>0.4175957758618723</v>
      </c>
      <c r="M11" s="542"/>
      <c r="N11" s="542"/>
    </row>
    <row r="12" spans="2:14">
      <c r="B12" s="703" t="s">
        <v>1367</v>
      </c>
      <c r="C12" s="703" t="str">
        <f>VLOOKUP(B12,COSTING!$B$8:$N$913,2,)</f>
        <v>Hot Spicy Chicken (1pc) - Ala Carte</v>
      </c>
      <c r="D12" s="703">
        <f>VLOOKUP(B12,COSTING!$B$8:$N$913,3,)</f>
        <v>25300.000000000004</v>
      </c>
      <c r="E12" s="704">
        <v>23000</v>
      </c>
      <c r="F12" s="704">
        <f>VLOOKUP(B12,COSTING!$B$8:$N$913,5,)</f>
        <v>11570.890548688752</v>
      </c>
      <c r="G12" s="704">
        <f>VLOOKUP(B12,COSTING!$B$8:$N$913,6,)</f>
        <v>11640.890548688752</v>
      </c>
      <c r="H12" s="705">
        <f>VLOOKUP(B12,COSTING!$B$8:$N$913,7,)</f>
        <v>0.50308219776907614</v>
      </c>
      <c r="I12" s="705">
        <f>VLOOKUP(B12,COSTING!$B$8:$N$913,8,)</f>
        <v>0.50612567602994574</v>
      </c>
      <c r="J12" s="704">
        <f>VLOOKUP(B12,COSTING!$B$8:$N$913,9,)</f>
        <v>0</v>
      </c>
      <c r="K12" s="704">
        <f>VLOOKUP(B12,COSTING!$B$8:$N$913,10,)</f>
        <v>0</v>
      </c>
      <c r="L12" s="705" t="e">
        <f>VLOOKUP(B12,COSTING!$B$8:$N$913,11,)</f>
        <v>#DIV/0!</v>
      </c>
      <c r="M12" s="542"/>
      <c r="N12" s="542"/>
    </row>
    <row r="13" spans="2:14">
      <c r="B13" s="703" t="s">
        <v>1368</v>
      </c>
      <c r="C13" s="703" t="str">
        <f>VLOOKUP(B13,COSTING!$B$8:$N$913,2,)</f>
        <v>Cheesling Chicken (1pc) - Ala Carte</v>
      </c>
      <c r="D13" s="703">
        <f>VLOOKUP(B13,COSTING!$B$8:$N$913,3,)</f>
        <v>25300.000000000004</v>
      </c>
      <c r="E13" s="704">
        <v>23000</v>
      </c>
      <c r="F13" s="704">
        <f>VLOOKUP(B13,COSTING!$B$8:$N$913,5,)</f>
        <v>8200.6636313245835</v>
      </c>
      <c r="G13" s="704">
        <f>VLOOKUP(B13,COSTING!$B$8:$N$913,6,)</f>
        <v>8270.6636313245835</v>
      </c>
      <c r="H13" s="705">
        <f>VLOOKUP(B13,COSTING!$B$8:$N$913,7,)</f>
        <v>0.35655059266628625</v>
      </c>
      <c r="I13" s="705">
        <f>VLOOKUP(B13,COSTING!$B$8:$N$913,8,)</f>
        <v>0.35959407092715578</v>
      </c>
      <c r="J13" s="704">
        <f>VLOOKUP(B13,COSTING!$B$8:$N$913,9,)</f>
        <v>23</v>
      </c>
      <c r="K13" s="704">
        <f>VLOOKUP(B13,COSTING!$B$8:$N$913,10,)</f>
        <v>14</v>
      </c>
      <c r="L13" s="705">
        <f>VLOOKUP(B13,COSTING!$B$8:$N$913,11,)</f>
        <v>0.35770217903526391</v>
      </c>
      <c r="M13" s="542"/>
      <c r="N13" s="542"/>
    </row>
    <row r="14" spans="2:14">
      <c r="B14" s="703" t="s">
        <v>1808</v>
      </c>
      <c r="C14" s="703" t="str">
        <f>VLOOKUP(B14,COSTING!$B$8:$N$913,2,)</f>
        <v>Mala Hot Chicken (1pc) - Ala Carte</v>
      </c>
      <c r="D14" s="703">
        <f>VLOOKUP(B14,COSTING!$B$8:$N$913,3,)</f>
        <v>25300.000000000004</v>
      </c>
      <c r="E14" s="704">
        <v>23000</v>
      </c>
      <c r="F14" s="704">
        <f>VLOOKUP(B14,COSTING!$B$8:$N$913,5,)</f>
        <v>8532.7223589065252</v>
      </c>
      <c r="G14" s="704">
        <f>VLOOKUP(B14,COSTING!$B$8:$N$913,6,)</f>
        <v>8602.7223589065252</v>
      </c>
      <c r="H14" s="705">
        <f>VLOOKUP(B14,COSTING!$B$8:$N$913,7,)</f>
        <v>0.37098792864810981</v>
      </c>
      <c r="I14" s="705">
        <f>VLOOKUP(B14,COSTING!$B$8:$N$913,8,)</f>
        <v>0.37403140690897935</v>
      </c>
      <c r="J14" s="704">
        <f>VLOOKUP(B14,COSTING!$B$8:$N$913,9,)</f>
        <v>11</v>
      </c>
      <c r="K14" s="704">
        <f>VLOOKUP(B14,COSTING!$B$8:$N$913,10,)</f>
        <v>4</v>
      </c>
      <c r="L14" s="705">
        <f>VLOOKUP(B14,COSTING!$B$8:$N$913,11,)</f>
        <v>0.37179952285100837</v>
      </c>
      <c r="M14" s="542"/>
      <c r="N14" s="542"/>
    </row>
    <row r="15" spans="2:14">
      <c r="B15" s="703" t="s">
        <v>1809</v>
      </c>
      <c r="C15" s="703" t="str">
        <f>VLOOKUP(B15,COSTING!$B$8:$N$913,2,)</f>
        <v>Soy Garlic Chicken (1pc) - Ala Carte</v>
      </c>
      <c r="D15" s="703">
        <f>VLOOKUP(B15,COSTING!$B$8:$N$913,3,)</f>
        <v>25300.000000000004</v>
      </c>
      <c r="E15" s="704">
        <v>23000</v>
      </c>
      <c r="F15" s="704">
        <f>VLOOKUP(B15,COSTING!$B$8:$N$913,5,)</f>
        <v>8286.470386052988</v>
      </c>
      <c r="G15" s="704">
        <f>VLOOKUP(B15,COSTING!$B$8:$N$913,6,)</f>
        <v>8356.470386052988</v>
      </c>
      <c r="H15" s="705">
        <f>VLOOKUP(B15,COSTING!$B$8:$N$913,7,)</f>
        <v>0.36028132113273859</v>
      </c>
      <c r="I15" s="705">
        <f>VLOOKUP(B15,COSTING!$B$8:$N$913,8,)</f>
        <v>0.36332479939360818</v>
      </c>
      <c r="J15" s="704">
        <f>VLOOKUP(B15,COSTING!$B$8:$N$913,9,)</f>
        <v>30</v>
      </c>
      <c r="K15" s="704">
        <f>VLOOKUP(B15,COSTING!$B$8:$N$913,10,)</f>
        <v>22</v>
      </c>
      <c r="L15" s="705">
        <f>VLOOKUP(B15,COSTING!$B$8:$N$913,11,)</f>
        <v>0.3615689465507988</v>
      </c>
      <c r="M15" s="542"/>
      <c r="N15" s="542"/>
    </row>
    <row r="16" spans="2:14">
      <c r="B16" s="703" t="s">
        <v>1810</v>
      </c>
      <c r="C16" s="703" t="str">
        <f>VLOOKUP(B16,COSTING!$B$8:$N$913,2,)</f>
        <v xml:space="preserve">GangJeong Chicken (1pc) - Ala Carte </v>
      </c>
      <c r="D16" s="703">
        <f>VLOOKUP(B16,COSTING!$B$8:$N$913,3,)</f>
        <v>25300.000000000004</v>
      </c>
      <c r="E16" s="704">
        <v>23000</v>
      </c>
      <c r="F16" s="704">
        <f>VLOOKUP(B16,COSTING!$B$8:$N$913,5,)</f>
        <v>8339.0655807355597</v>
      </c>
      <c r="G16" s="704">
        <f>VLOOKUP(B16,COSTING!$B$8:$N$913,6,)</f>
        <v>8409.0655807355597</v>
      </c>
      <c r="H16" s="705">
        <f>VLOOKUP(B16,COSTING!$B$8:$N$913,7,)</f>
        <v>0.36256806872763303</v>
      </c>
      <c r="I16" s="705">
        <f>VLOOKUP(B16,COSTING!$B$8:$N$913,8,)</f>
        <v>0.36561154698850262</v>
      </c>
      <c r="J16" s="704">
        <f>VLOOKUP(B16,COSTING!$B$8:$N$913,9,)</f>
        <v>0</v>
      </c>
      <c r="K16" s="704">
        <f>VLOOKUP(B16,COSTING!$B$8:$N$913,10,)</f>
        <v>0</v>
      </c>
      <c r="L16" s="705" t="e">
        <f>VLOOKUP(B16,COSTING!$B$8:$N$913,11,)</f>
        <v>#DIV/0!</v>
      </c>
      <c r="M16" s="542"/>
      <c r="N16" s="542"/>
    </row>
    <row r="17" spans="2:14">
      <c r="B17" s="703" t="s">
        <v>1811</v>
      </c>
      <c r="C17" s="703" t="str">
        <f>VLOOKUP(B17,COSTING!$B$8:$N$913,2,)</f>
        <v>Golden Fried Chicken (4pcs) - Ala Carte</v>
      </c>
      <c r="D17" s="703">
        <f>VLOOKUP(B17,COSTING!$B$8:$N$913,3,)</f>
        <v>82500</v>
      </c>
      <c r="E17" s="704">
        <v>75000</v>
      </c>
      <c r="F17" s="704">
        <f>VLOOKUP(B17,COSTING!$B$8:$N$913,5,)</f>
        <v>33378.397611421664</v>
      </c>
      <c r="G17" s="704">
        <f>VLOOKUP(B17,COSTING!$B$8:$N$913,6,)</f>
        <v>34578.397611421671</v>
      </c>
      <c r="H17" s="705">
        <f>VLOOKUP(B17,COSTING!$B$8:$N$913,7,)</f>
        <v>0.44504530148562216</v>
      </c>
      <c r="I17" s="705">
        <f>VLOOKUP(B17,COSTING!$B$8:$N$913,8,)</f>
        <v>0.46104530148562228</v>
      </c>
      <c r="J17" s="704">
        <f>VLOOKUP(B17,COSTING!$B$8:$N$913,9,)</f>
        <v>13</v>
      </c>
      <c r="K17" s="704">
        <f>VLOOKUP(B17,COSTING!$B$8:$N$913,10,)</f>
        <v>38.5</v>
      </c>
      <c r="L17" s="705">
        <f>VLOOKUP(B17,COSTING!$B$8:$N$913,11,)</f>
        <v>0.45700646653416593</v>
      </c>
      <c r="M17" s="542"/>
      <c r="N17" s="542"/>
    </row>
    <row r="18" spans="2:14">
      <c r="B18" s="703" t="s">
        <v>1812</v>
      </c>
      <c r="C18" s="703" t="str">
        <f>VLOOKUP(B18,COSTING!$B$8:$N$913,2,)</f>
        <v>Hot Spicy Chicken (4pcs) - Ala Carte</v>
      </c>
      <c r="D18" s="703">
        <f>VLOOKUP(B18,COSTING!$B$8:$N$913,3,)</f>
        <v>93500.000000000015</v>
      </c>
      <c r="E18" s="704">
        <v>85000</v>
      </c>
      <c r="F18" s="704">
        <f>VLOOKUP(B18,COSTING!$B$8:$N$913,5,)</f>
        <v>44700.012194755007</v>
      </c>
      <c r="G18" s="704">
        <f>VLOOKUP(B18,COSTING!$B$8:$N$913,6,)</f>
        <v>45900.012194755007</v>
      </c>
      <c r="H18" s="705">
        <f>VLOOKUP(B18,COSTING!$B$8:$N$913,7,)</f>
        <v>0.5258824964088824</v>
      </c>
      <c r="I18" s="705">
        <f>VLOOKUP(B18,COSTING!$B$8:$N$913,8,)</f>
        <v>0.54000014346770597</v>
      </c>
      <c r="J18" s="704">
        <f>VLOOKUP(B18,COSTING!$B$8:$N$913,9,)</f>
        <v>0</v>
      </c>
      <c r="K18" s="704">
        <f>VLOOKUP(B18,COSTING!$B$8:$N$913,10,)</f>
        <v>0</v>
      </c>
      <c r="L18" s="705" t="e">
        <f>VLOOKUP(B18,COSTING!$B$8:$N$913,11,)</f>
        <v>#DIV/0!</v>
      </c>
      <c r="M18" s="542"/>
      <c r="N18" s="542"/>
    </row>
    <row r="19" spans="2:14">
      <c r="B19" s="703" t="s">
        <v>1813</v>
      </c>
      <c r="C19" s="703" t="str">
        <f>VLOOKUP(B19,COSTING!$B$8:$N$913,2,)</f>
        <v>Cheesling Chicken (4pcs) - Ala Carte</v>
      </c>
      <c r="D19" s="703">
        <f>VLOOKUP(B19,COSTING!$B$8:$N$913,3,)</f>
        <v>93500.000000000015</v>
      </c>
      <c r="E19" s="704">
        <v>85000</v>
      </c>
      <c r="F19" s="704">
        <f>VLOOKUP(B19,COSTING!$B$8:$N$913,5,)</f>
        <v>31351.379657573467</v>
      </c>
      <c r="G19" s="704">
        <f>VLOOKUP(B19,COSTING!$B$8:$N$913,6,)</f>
        <v>32551.379657573467</v>
      </c>
      <c r="H19" s="705">
        <f>VLOOKUP(B19,COSTING!$B$8:$N$913,7,)</f>
        <v>0.36883976067733493</v>
      </c>
      <c r="I19" s="705">
        <f>VLOOKUP(B19,COSTING!$B$8:$N$913,8,)</f>
        <v>0.38295740773615844</v>
      </c>
      <c r="J19" s="704">
        <f>VLOOKUP(B19,COSTING!$B$8:$N$913,9,)</f>
        <v>53.5</v>
      </c>
      <c r="K19" s="704">
        <f>VLOOKUP(B19,COSTING!$B$8:$N$913,10,)</f>
        <v>30.25</v>
      </c>
      <c r="L19" s="705">
        <f>VLOOKUP(B19,COSTING!$B$8:$N$913,11,)</f>
        <v>0.37393897051052188</v>
      </c>
      <c r="M19" s="542"/>
      <c r="N19" s="542"/>
    </row>
    <row r="20" spans="2:14">
      <c r="B20" s="703" t="s">
        <v>1814</v>
      </c>
      <c r="C20" s="703" t="str">
        <f>VLOOKUP(B20,COSTING!$B$8:$N$913,2,)</f>
        <v>Mala Hot Chicken (4pcs) - Ala Carte</v>
      </c>
      <c r="D20" s="703">
        <f>VLOOKUP(B20,COSTING!$B$8:$N$913,3,)</f>
        <v>93500.000000000015</v>
      </c>
      <c r="E20" s="704">
        <v>85000</v>
      </c>
      <c r="F20" s="704">
        <f>VLOOKUP(B20,COSTING!$B$8:$N$913,5,)</f>
        <v>32679.614567901233</v>
      </c>
      <c r="G20" s="704">
        <f>VLOOKUP(B20,COSTING!$B$8:$N$913,6,)</f>
        <v>33879.614567901233</v>
      </c>
      <c r="H20" s="705">
        <f>VLOOKUP(B20,COSTING!$B$8:$N$913,7,)</f>
        <v>0.38446605374001452</v>
      </c>
      <c r="I20" s="705">
        <f>VLOOKUP(B20,COSTING!$B$8:$N$913,8,)</f>
        <v>0.39858370079883804</v>
      </c>
      <c r="J20" s="704">
        <f>VLOOKUP(B20,COSTING!$B$8:$N$913,9,)</f>
        <v>11.75</v>
      </c>
      <c r="K20" s="704">
        <f>VLOOKUP(B20,COSTING!$B$8:$N$913,10,)</f>
        <v>13.75</v>
      </c>
      <c r="L20" s="705">
        <f>VLOOKUP(B20,COSTING!$B$8:$N$913,11,)</f>
        <v>0.39207851048741937</v>
      </c>
      <c r="M20" s="542"/>
      <c r="N20" s="542"/>
    </row>
    <row r="21" spans="2:14">
      <c r="B21" s="703" t="s">
        <v>1815</v>
      </c>
      <c r="C21" s="703" t="str">
        <f>VLOOKUP(B21,COSTING!$B$8:$N$913,2,)</f>
        <v>Soy Garlic Chicken (4pcs) - Ala Carte</v>
      </c>
      <c r="D21" s="703">
        <f>VLOOKUP(B21,COSTING!$B$8:$N$913,3,)</f>
        <v>93500.000000000015</v>
      </c>
      <c r="E21" s="704">
        <v>85000</v>
      </c>
      <c r="F21" s="704">
        <f>VLOOKUP(B21,COSTING!$B$8:$N$913,5,)</f>
        <v>31694.606676487088</v>
      </c>
      <c r="G21" s="704">
        <f>VLOOKUP(B21,COSTING!$B$8:$N$913,6,)</f>
        <v>32894.606676487092</v>
      </c>
      <c r="H21" s="705">
        <f>VLOOKUP(B21,COSTING!$B$8:$N$913,7,)</f>
        <v>0.37287772560573046</v>
      </c>
      <c r="I21" s="705">
        <f>VLOOKUP(B21,COSTING!$B$8:$N$913,8,)</f>
        <v>0.38699537266455403</v>
      </c>
      <c r="J21" s="704">
        <f>VLOOKUP(B21,COSTING!$B$8:$N$913,9,)</f>
        <v>48.75</v>
      </c>
      <c r="K21" s="704">
        <f>VLOOKUP(B21,COSTING!$B$8:$N$913,10,)</f>
        <v>38.5</v>
      </c>
      <c r="L21" s="705">
        <f>VLOOKUP(B21,COSTING!$B$8:$N$913,11,)</f>
        <v>0.37910728906435176</v>
      </c>
      <c r="M21" s="542"/>
      <c r="N21" s="542"/>
    </row>
    <row r="22" spans="2:14">
      <c r="B22" s="703" t="s">
        <v>1816</v>
      </c>
      <c r="C22" s="703" t="str">
        <f>VLOOKUP(B22,COSTING!$B$8:$N$913,2,)</f>
        <v xml:space="preserve">GangJeong Chicken (4pcs) - Ala Carte </v>
      </c>
      <c r="D22" s="703">
        <f>VLOOKUP(B22,COSTING!$B$8:$N$913,3,)</f>
        <v>93500.000000000015</v>
      </c>
      <c r="E22" s="704">
        <v>85000</v>
      </c>
      <c r="F22" s="704">
        <f>VLOOKUP(B22,COSTING!$B$8:$N$913,5,)</f>
        <v>31904.987455217371</v>
      </c>
      <c r="G22" s="704">
        <f>VLOOKUP(B22,COSTING!$B$8:$N$913,6,)</f>
        <v>33104.987455217371</v>
      </c>
      <c r="H22" s="705">
        <f>VLOOKUP(B22,COSTING!$B$8:$N$913,7,)</f>
        <v>0.3753527935907926</v>
      </c>
      <c r="I22" s="705">
        <f>VLOOKUP(B22,COSTING!$B$8:$N$913,8,)</f>
        <v>0.38947044064961611</v>
      </c>
      <c r="J22" s="704">
        <f>VLOOKUP(B22,COSTING!$B$8:$N$913,9,)</f>
        <v>0</v>
      </c>
      <c r="K22" s="704">
        <f>VLOOKUP(B22,COSTING!$B$8:$N$913,10,)</f>
        <v>0</v>
      </c>
      <c r="L22" s="705" t="e">
        <f>VLOOKUP(B22,COSTING!$B$8:$N$913,11,)</f>
        <v>#DIV/0!</v>
      </c>
      <c r="M22" s="542"/>
      <c r="N22" s="542"/>
    </row>
    <row r="23" spans="2:14">
      <c r="B23" s="706" t="s">
        <v>1378</v>
      </c>
      <c r="C23" s="706" t="str">
        <f>VLOOKUP(B23,COSTING!$B$8:$N$913,2,)</f>
        <v xml:space="preserve">Golden Fried Chicken (1pc) - Rice Combo </v>
      </c>
      <c r="D23" s="706">
        <f>VLOOKUP(B23,COSTING!$B$8:$N$913,3,)</f>
        <v>39600</v>
      </c>
      <c r="E23" s="707">
        <v>36000</v>
      </c>
      <c r="F23" s="707">
        <f>VLOOKUP(B23,COSTING!$B$8:$N$913,5,)</f>
        <v>11604.750539219052</v>
      </c>
      <c r="G23" s="707">
        <f>VLOOKUP(B23,COSTING!$B$8:$N$913,6,)</f>
        <v>12408.750539219052</v>
      </c>
      <c r="H23" s="708">
        <f>VLOOKUP(B23,COSTING!$B$8:$N$913,7,)</f>
        <v>0.3223541816449737</v>
      </c>
      <c r="I23" s="708">
        <f>VLOOKUP(B23,COSTING!$B$8:$N$913,8,)</f>
        <v>0.34468751497830702</v>
      </c>
      <c r="J23" s="707">
        <f>VLOOKUP(B23,COSTING!$B$8:$N$913,9,)</f>
        <v>17</v>
      </c>
      <c r="K23" s="707">
        <f>VLOOKUP(B23,COSTING!$B$8:$N$913,10,)</f>
        <v>6</v>
      </c>
      <c r="L23" s="708">
        <f>VLOOKUP(B23,COSTING!$B$8:$N$913,11,)</f>
        <v>0.32818026860149541</v>
      </c>
      <c r="M23" s="709"/>
      <c r="N23" s="709"/>
    </row>
    <row r="24" spans="2:14">
      <c r="B24" s="706" t="s">
        <v>1379</v>
      </c>
      <c r="C24" s="706" t="str">
        <f>VLOOKUP(B24,COSTING!$B$8:$N$913,2,)</f>
        <v xml:space="preserve">Hot Spicy Chicken (1pc) - Rice Combo </v>
      </c>
      <c r="D24" s="706">
        <f>VLOOKUP(B24,COSTING!$B$8:$N$913,3,)</f>
        <v>42900</v>
      </c>
      <c r="E24" s="707">
        <v>39000</v>
      </c>
      <c r="F24" s="707">
        <f>VLOOKUP(B24,COSTING!$B$8:$N$913,5,)</f>
        <v>14218.704185052389</v>
      </c>
      <c r="G24" s="707">
        <f>VLOOKUP(B24,COSTING!$B$8:$N$913,6,)</f>
        <v>15022.704185052389</v>
      </c>
      <c r="H24" s="708">
        <f>VLOOKUP(B24,COSTING!$B$8:$N$913,7,)</f>
        <v>0.36458215859108689</v>
      </c>
      <c r="I24" s="708">
        <f>VLOOKUP(B24,COSTING!$B$8:$N$913,8,)</f>
        <v>0.38519754320647154</v>
      </c>
      <c r="J24" s="707">
        <f>VLOOKUP(B24,COSTING!$B$8:$N$913,9,)</f>
        <v>0</v>
      </c>
      <c r="K24" s="707">
        <f>VLOOKUP(B24,COSTING!$B$8:$N$913,10,)</f>
        <v>0</v>
      </c>
      <c r="L24" s="708" t="e">
        <f>VLOOKUP(B24,COSTING!$B$8:$N$913,11,)</f>
        <v>#DIV/0!</v>
      </c>
      <c r="M24" s="709"/>
      <c r="N24" s="709"/>
    </row>
    <row r="25" spans="2:14">
      <c r="B25" s="706" t="s">
        <v>1817</v>
      </c>
      <c r="C25" s="706" t="str">
        <f>VLOOKUP(B25,COSTING!$B$8:$N$913,2,)</f>
        <v xml:space="preserve">Cheesling Chicken (1pc) - Rice Combo </v>
      </c>
      <c r="D25" s="706">
        <f>VLOOKUP(B25,COSTING!$B$8:$N$913,3,)</f>
        <v>42900</v>
      </c>
      <c r="E25" s="707">
        <v>39000</v>
      </c>
      <c r="F25" s="707">
        <f>VLOOKUP(B25,COSTING!$B$8:$N$913,5,)</f>
        <v>10703.031765042717</v>
      </c>
      <c r="G25" s="707">
        <f>VLOOKUP(B25,COSTING!$B$8:$N$913,6,)</f>
        <v>11507.031765042717</v>
      </c>
      <c r="H25" s="708">
        <f>VLOOKUP(B25,COSTING!$B$8:$N$913,7,)</f>
        <v>0.27443671192417224</v>
      </c>
      <c r="I25" s="708">
        <f>VLOOKUP(B25,COSTING!$B$8:$N$913,8,)</f>
        <v>0.29505209653955683</v>
      </c>
      <c r="J25" s="707">
        <f>VLOOKUP(B25,COSTING!$B$8:$N$913,9,)</f>
        <v>33</v>
      </c>
      <c r="K25" s="707">
        <f>VLOOKUP(B25,COSTING!$B$8:$N$913,10,)</f>
        <v>17</v>
      </c>
      <c r="L25" s="708">
        <f>VLOOKUP(B25,COSTING!$B$8:$N$913,11,)</f>
        <v>0.28144594269340295</v>
      </c>
      <c r="M25" s="709"/>
      <c r="N25" s="709"/>
    </row>
    <row r="26" spans="2:14">
      <c r="B26" s="706" t="s">
        <v>1818</v>
      </c>
      <c r="C26" s="706" t="str">
        <f>VLOOKUP(B26,COSTING!$B$8:$N$913,2,)</f>
        <v xml:space="preserve">Soy Garlic Chicken (1pc) - Rice Combo </v>
      </c>
      <c r="D26" s="706">
        <f>VLOOKUP(B26,COSTING!$B$8:$N$913,3,)</f>
        <v>42900</v>
      </c>
      <c r="E26" s="707">
        <v>39000</v>
      </c>
      <c r="F26" s="707">
        <f>VLOOKUP(B26,COSTING!$B$8:$N$913,5,)</f>
        <v>10967.352805485409</v>
      </c>
      <c r="G26" s="707">
        <f>VLOOKUP(B26,COSTING!$B$8:$N$913,6,)</f>
        <v>11771.352805485409</v>
      </c>
      <c r="H26" s="708">
        <f>VLOOKUP(B26,COSTING!$B$8:$N$913,7,)</f>
        <v>0.28121417449962588</v>
      </c>
      <c r="I26" s="708">
        <f>VLOOKUP(B26,COSTING!$B$8:$N$913,8,)</f>
        <v>0.30182955911501047</v>
      </c>
      <c r="J26" s="707">
        <f>VLOOKUP(B26,COSTING!$B$8:$N$913,9,)</f>
        <v>18</v>
      </c>
      <c r="K26" s="707">
        <f>VLOOKUP(B26,COSTING!$B$8:$N$913,10,)</f>
        <v>0</v>
      </c>
      <c r="L26" s="708">
        <f>VLOOKUP(B26,COSTING!$B$8:$N$913,11,)</f>
        <v>0.28121417449962588</v>
      </c>
      <c r="M26" s="709"/>
      <c r="N26" s="709"/>
    </row>
    <row r="27" spans="2:14">
      <c r="B27" s="706" t="s">
        <v>1819</v>
      </c>
      <c r="C27" s="706" t="str">
        <f>VLOOKUP(B27,COSTING!$B$8:$N$913,2,)</f>
        <v xml:space="preserve">GangJeong Chicken (1pc) - Rice Combo </v>
      </c>
      <c r="D27" s="706">
        <f>VLOOKUP(B27,COSTING!$B$8:$N$913,3,)</f>
        <v>42900</v>
      </c>
      <c r="E27" s="707">
        <v>39000</v>
      </c>
      <c r="F27" s="707">
        <f>VLOOKUP(B27,COSTING!$B$8:$N$913,5,)</f>
        <v>11019.94800016798</v>
      </c>
      <c r="G27" s="707">
        <f>VLOOKUP(B27,COSTING!$B$8:$N$913,6,)</f>
        <v>11823.94800016798</v>
      </c>
      <c r="H27" s="708">
        <f>VLOOKUP(B27,COSTING!$B$8:$N$913,7,)</f>
        <v>0.28256276923507639</v>
      </c>
      <c r="I27" s="708">
        <f>VLOOKUP(B27,COSTING!$B$8:$N$913,8,)</f>
        <v>0.30317815385046104</v>
      </c>
      <c r="J27" s="707">
        <f>VLOOKUP(B27,COSTING!$B$8:$N$913,9,)</f>
        <v>23</v>
      </c>
      <c r="K27" s="707">
        <f>VLOOKUP(B27,COSTING!$B$8:$N$913,10,)</f>
        <v>5</v>
      </c>
      <c r="L27" s="708">
        <f>VLOOKUP(B27,COSTING!$B$8:$N$913,11,)</f>
        <v>0.28624408791639505</v>
      </c>
      <c r="M27" s="709"/>
      <c r="N27" s="709"/>
    </row>
    <row r="28" spans="2:14">
      <c r="B28" s="706" t="s">
        <v>1820</v>
      </c>
      <c r="C28" s="706" t="str">
        <f>VLOOKUP(B28,COSTING!$B$8:$N$913,2,)</f>
        <v>Mala Hot Chicken (1pc) - Rice Combo</v>
      </c>
      <c r="D28" s="706">
        <f>VLOOKUP(B28,COSTING!$B$8:$N$913,3,)</f>
        <v>42900</v>
      </c>
      <c r="E28" s="707">
        <v>39000</v>
      </c>
      <c r="F28" s="707">
        <f>VLOOKUP(B28,COSTING!$B$8:$N$913,5,)</f>
        <v>11213.604778338946</v>
      </c>
      <c r="G28" s="707">
        <f>VLOOKUP(B28,COSTING!$B$8:$N$913,6,)</f>
        <v>12017.604778338946</v>
      </c>
      <c r="H28" s="708">
        <f>VLOOKUP(B28,COSTING!$B$8:$N$913,7,)</f>
        <v>0.28752832764971659</v>
      </c>
      <c r="I28" s="708">
        <f>VLOOKUP(B28,COSTING!$B$8:$N$913,8,)</f>
        <v>0.30814371226510118</v>
      </c>
      <c r="J28" s="707">
        <f>VLOOKUP(B28,COSTING!$B$8:$N$913,9,)</f>
        <v>0</v>
      </c>
      <c r="K28" s="707">
        <f>VLOOKUP(B28,COSTING!$B$8:$N$913,10,)</f>
        <v>0</v>
      </c>
      <c r="L28" s="708" t="e">
        <f>VLOOKUP(B28,COSTING!$B$8:$N$913,11,)</f>
        <v>#DIV/0!</v>
      </c>
      <c r="M28" s="709"/>
      <c r="N28" s="709"/>
    </row>
    <row r="29" spans="2:14">
      <c r="B29" s="706" t="s">
        <v>1821</v>
      </c>
      <c r="C29" s="706" t="str">
        <f>VLOOKUP(B29,COSTING!$B$8:$N$913,2,)</f>
        <v xml:space="preserve">Golden Fried Chicken (1pc) - Fries Combo </v>
      </c>
      <c r="D29" s="706">
        <f>VLOOKUP(B29,COSTING!$B$8:$N$913,3,)</f>
        <v>45100.000000000007</v>
      </c>
      <c r="E29" s="707">
        <v>41000</v>
      </c>
      <c r="F29" s="707">
        <f>VLOOKUP(B29,COSTING!$B$8:$N$913,5,)</f>
        <v>15368.529495448009</v>
      </c>
      <c r="G29" s="707">
        <f>VLOOKUP(B29,COSTING!$B$8:$N$913,6,)</f>
        <v>16374.529495448009</v>
      </c>
      <c r="H29" s="708">
        <f>VLOOKUP(B29,COSTING!$B$8:$N$913,7,)</f>
        <v>0.37484218281580511</v>
      </c>
      <c r="I29" s="708">
        <f>VLOOKUP(B29,COSTING!$B$8:$N$913,8,)</f>
        <v>0.39937876818165874</v>
      </c>
      <c r="J29" s="707">
        <f>VLOOKUP(B29,COSTING!$B$8:$N$913,9,)</f>
        <v>2</v>
      </c>
      <c r="K29" s="707">
        <f>VLOOKUP(B29,COSTING!$B$8:$N$913,10,)</f>
        <v>2</v>
      </c>
      <c r="L29" s="708">
        <f>VLOOKUP(B29,COSTING!$B$8:$N$913,11,)</f>
        <v>0.3871104754987319</v>
      </c>
      <c r="M29" s="709"/>
      <c r="N29" s="709"/>
    </row>
    <row r="30" spans="2:14">
      <c r="B30" s="706" t="s">
        <v>1822</v>
      </c>
      <c r="C30" s="706" t="str">
        <f>VLOOKUP(B30,COSTING!$B$8:$N$913,2,)</f>
        <v>Hot Spicy Chicken (1pc) - Fries Combo</v>
      </c>
      <c r="D30" s="706">
        <f>VLOOKUP(B30,COSTING!$B$8:$N$913,3,)</f>
        <v>48400.000000000007</v>
      </c>
      <c r="E30" s="707">
        <v>44000</v>
      </c>
      <c r="F30" s="707">
        <f>VLOOKUP(B30,COSTING!$B$8:$N$913,5,)</f>
        <v>18198.933141281344</v>
      </c>
      <c r="G30" s="707">
        <f>VLOOKUP(B30,COSTING!$B$8:$N$913,6,)</f>
        <v>19204.933141281344</v>
      </c>
      <c r="H30" s="708">
        <f>VLOOKUP(B30,COSTING!$B$8:$N$913,7,)</f>
        <v>0.41361211684730326</v>
      </c>
      <c r="I30" s="708">
        <f>VLOOKUP(B30,COSTING!$B$8:$N$913,8,)</f>
        <v>0.43647575321093962</v>
      </c>
      <c r="J30" s="707">
        <f>VLOOKUP(B30,COSTING!$B$8:$N$913,9,)</f>
        <v>0</v>
      </c>
      <c r="K30" s="707">
        <f>VLOOKUP(B30,COSTING!$B$8:$N$913,10,)</f>
        <v>0</v>
      </c>
      <c r="L30" s="708" t="e">
        <f>VLOOKUP(B30,COSTING!$B$8:$N$913,11,)</f>
        <v>#DIV/0!</v>
      </c>
      <c r="M30" s="709"/>
      <c r="N30" s="709"/>
    </row>
    <row r="31" spans="2:14">
      <c r="B31" s="706" t="s">
        <v>1823</v>
      </c>
      <c r="C31" s="706" t="str">
        <f>VLOOKUP(B31,COSTING!$B$8:$N$913,2,)</f>
        <v>Cheesling Chicken (1pc) - Fries Combo</v>
      </c>
      <c r="D31" s="706">
        <f>VLOOKUP(B31,COSTING!$B$8:$N$913,3,)</f>
        <v>48400.000000000007</v>
      </c>
      <c r="E31" s="707">
        <v>44000</v>
      </c>
      <c r="F31" s="707">
        <f>VLOOKUP(B31,COSTING!$B$8:$N$913,5,)</f>
        <v>14683.260721271672</v>
      </c>
      <c r="G31" s="707">
        <f>VLOOKUP(B31,COSTING!$B$8:$N$913,6,)</f>
        <v>15689.260721271672</v>
      </c>
      <c r="H31" s="708">
        <f>VLOOKUP(B31,COSTING!$B$8:$N$913,7,)</f>
        <v>0.33371047093799255</v>
      </c>
      <c r="I31" s="708">
        <f>VLOOKUP(B31,COSTING!$B$8:$N$913,8,)</f>
        <v>0.35657410730162892</v>
      </c>
      <c r="J31" s="707">
        <f>VLOOKUP(B31,COSTING!$B$8:$N$913,9,)</f>
        <v>2</v>
      </c>
      <c r="K31" s="707">
        <f>VLOOKUP(B31,COSTING!$B$8:$N$913,10,)</f>
        <v>0</v>
      </c>
      <c r="L31" s="708">
        <f>VLOOKUP(B31,COSTING!$B$8:$N$913,11,)</f>
        <v>0.33371047093799255</v>
      </c>
      <c r="M31" s="709"/>
      <c r="N31" s="709"/>
    </row>
    <row r="32" spans="2:14">
      <c r="B32" s="706" t="s">
        <v>1824</v>
      </c>
      <c r="C32" s="706" t="str">
        <f>VLOOKUP(B32,COSTING!$B$8:$N$913,2,)</f>
        <v>Mala Hot Chicken (1pc) - Fries Combo</v>
      </c>
      <c r="D32" s="706">
        <f>VLOOKUP(B32,COSTING!$B$8:$N$913,3,)</f>
        <v>48400.000000000007</v>
      </c>
      <c r="E32" s="707">
        <v>44000</v>
      </c>
      <c r="F32" s="707">
        <f>VLOOKUP(B32,COSTING!$B$8:$N$913,5,)</f>
        <v>15193.833734567903</v>
      </c>
      <c r="G32" s="707">
        <f>VLOOKUP(B32,COSTING!$B$8:$N$913,6,)</f>
        <v>16199.833734567903</v>
      </c>
      <c r="H32" s="708">
        <f>VLOOKUP(B32,COSTING!$B$8:$N$913,7,)</f>
        <v>0.34531440305836142</v>
      </c>
      <c r="I32" s="708">
        <f>VLOOKUP(B32,COSTING!$B$8:$N$913,8,)</f>
        <v>0.36817803942199778</v>
      </c>
      <c r="J32" s="707">
        <f>VLOOKUP(B32,COSTING!$B$8:$N$913,9,)</f>
        <v>2</v>
      </c>
      <c r="K32" s="707">
        <f>VLOOKUP(B32,COSTING!$B$8:$N$913,10,)</f>
        <v>0</v>
      </c>
      <c r="L32" s="708">
        <f>VLOOKUP(B32,COSTING!$B$8:$N$913,11,)</f>
        <v>0.34531440305836142</v>
      </c>
      <c r="M32" s="709"/>
      <c r="N32" s="709"/>
    </row>
    <row r="33" spans="2:14">
      <c r="B33" s="706" t="s">
        <v>1825</v>
      </c>
      <c r="C33" s="706" t="str">
        <f>VLOOKUP(B33,COSTING!$B$8:$N$913,2,)</f>
        <v xml:space="preserve">Soy Garlic Chicken (1pc) - Fries Combo </v>
      </c>
      <c r="D33" s="706">
        <f>VLOOKUP(B33,COSTING!$B$8:$N$913,3,)</f>
        <v>48400.000000000007</v>
      </c>
      <c r="E33" s="707">
        <v>44000</v>
      </c>
      <c r="F33" s="707">
        <f>VLOOKUP(B33,COSTING!$B$8:$N$913,5,)</f>
        <v>14947.581761714366</v>
      </c>
      <c r="G33" s="707">
        <f>VLOOKUP(B33,COSTING!$B$8:$N$913,6,)</f>
        <v>15953.581761714366</v>
      </c>
      <c r="H33" s="708">
        <f>VLOOKUP(B33,COSTING!$B$8:$N$913,7,)</f>
        <v>0.33971776731169012</v>
      </c>
      <c r="I33" s="708">
        <f>VLOOKUP(B33,COSTING!$B$8:$N$913,8,)</f>
        <v>0.36258140367532649</v>
      </c>
      <c r="J33" s="707">
        <f>VLOOKUP(B33,COSTING!$B$8:$N$913,9,)</f>
        <v>2</v>
      </c>
      <c r="K33" s="707">
        <f>VLOOKUP(B33,COSTING!$B$8:$N$913,10,)</f>
        <v>0</v>
      </c>
      <c r="L33" s="708">
        <f>VLOOKUP(B33,COSTING!$B$8:$N$913,11,)</f>
        <v>0.33971776731169012</v>
      </c>
      <c r="M33" s="709"/>
      <c r="N33" s="709"/>
    </row>
    <row r="34" spans="2:14">
      <c r="B34" s="706" t="s">
        <v>1826</v>
      </c>
      <c r="C34" s="706" t="str">
        <f>VLOOKUP(B34,COSTING!$B$8:$N$913,2,)</f>
        <v>GangJeong Chicken (1pc) - Fries Combo</v>
      </c>
      <c r="D34" s="706">
        <f>VLOOKUP(B34,COSTING!$B$8:$N$913,3,)</f>
        <v>48400.000000000007</v>
      </c>
      <c r="E34" s="707">
        <v>44000</v>
      </c>
      <c r="F34" s="707">
        <f>VLOOKUP(B34,COSTING!$B$8:$N$913,5,)</f>
        <v>15000.176956396936</v>
      </c>
      <c r="G34" s="707">
        <f>VLOOKUP(B34,COSTING!$B$8:$N$913,6,)</f>
        <v>16006.176956396936</v>
      </c>
      <c r="H34" s="708">
        <f>VLOOKUP(B34,COSTING!$B$8:$N$913,7,)</f>
        <v>0.34091311264538487</v>
      </c>
      <c r="I34" s="708">
        <f>VLOOKUP(B34,COSTING!$B$8:$N$913,8,)</f>
        <v>0.36377674900902124</v>
      </c>
      <c r="J34" s="707">
        <f>VLOOKUP(B34,COSTING!$B$8:$N$913,9,)</f>
        <v>0</v>
      </c>
      <c r="K34" s="707">
        <f>VLOOKUP(B34,COSTING!$B$8:$N$913,10,)</f>
        <v>0</v>
      </c>
      <c r="L34" s="708" t="e">
        <f>VLOOKUP(B34,COSTING!$B$8:$N$913,11,)</f>
        <v>#DIV/0!</v>
      </c>
      <c r="M34" s="709"/>
      <c r="N34" s="709"/>
    </row>
    <row r="35" spans="2:14">
      <c r="B35" s="706" t="s">
        <v>1827</v>
      </c>
      <c r="C35" s="706" t="str">
        <f>VLOOKUP(B35,COSTING!$B$8:$N$913,2,)</f>
        <v>Golden Fried Chicken (1pc) - Tteokbokki Combo</v>
      </c>
      <c r="D35" s="706">
        <f>VLOOKUP(B35,COSTING!$B$8:$N$913,3,)</f>
        <v>52800.000000000007</v>
      </c>
      <c r="E35" s="707">
        <v>48000</v>
      </c>
      <c r="F35" s="707">
        <f>VLOOKUP(B35,COSTING!$B$8:$N$913,5,)</f>
        <v>16496.650859613088</v>
      </c>
      <c r="G35" s="707">
        <f>VLOOKUP(B35,COSTING!$B$8:$N$913,6,)</f>
        <v>17300.650859613088</v>
      </c>
      <c r="H35" s="708">
        <f>VLOOKUP(B35,COSTING!$B$8:$N$913,7,)</f>
        <v>0.34368022624193934</v>
      </c>
      <c r="I35" s="708">
        <f>VLOOKUP(B35,COSTING!$B$8:$N$913,8,)</f>
        <v>0.36043022624193932</v>
      </c>
      <c r="J35" s="707">
        <f>VLOOKUP(B35,COSTING!$B$8:$N$913,9,)</f>
        <v>1</v>
      </c>
      <c r="K35" s="707">
        <f>VLOOKUP(B35,COSTING!$B$8:$N$913,10,)</f>
        <v>0</v>
      </c>
      <c r="L35" s="708">
        <f>VLOOKUP(B35,COSTING!$B$8:$N$913,11,)</f>
        <v>0.34368022624193934</v>
      </c>
      <c r="M35" s="709"/>
      <c r="N35" s="709"/>
    </row>
    <row r="36" spans="2:14">
      <c r="B36" s="706" t="s">
        <v>1828</v>
      </c>
      <c r="C36" s="706" t="str">
        <f>VLOOKUP(B36,COSTING!$B$8:$N$913,2,)</f>
        <v>Hot Spicy Chicken (1pc) - Tteokbokki Combo</v>
      </c>
      <c r="D36" s="706">
        <f>VLOOKUP(B36,COSTING!$B$8:$N$913,3,)</f>
        <v>56100.000000000007</v>
      </c>
      <c r="E36" s="707">
        <v>51000</v>
      </c>
      <c r="F36" s="707">
        <f>VLOOKUP(B36,COSTING!$B$8:$N$913,5,)</f>
        <v>19327.054505446427</v>
      </c>
      <c r="G36" s="707">
        <f>VLOOKUP(B36,COSTING!$B$8:$N$913,6,)</f>
        <v>20131.054505446427</v>
      </c>
      <c r="H36" s="708">
        <f>VLOOKUP(B36,COSTING!$B$8:$N$913,7,)</f>
        <v>0.37896185304796914</v>
      </c>
      <c r="I36" s="708">
        <f>VLOOKUP(B36,COSTING!$B$8:$N$913,8,)</f>
        <v>0.3947265589303221</v>
      </c>
      <c r="J36" s="707">
        <f>VLOOKUP(B36,COSTING!$B$8:$N$913,9,)</f>
        <v>0</v>
      </c>
      <c r="K36" s="707">
        <f>VLOOKUP(B36,COSTING!$B$8:$N$913,10,)</f>
        <v>0</v>
      </c>
      <c r="L36" s="708" t="str">
        <f>VLOOKUP(B36,COSTING!$B$8:$N$913,11,)</f>
        <v/>
      </c>
      <c r="M36" s="709"/>
      <c r="N36" s="709"/>
    </row>
    <row r="37" spans="2:14">
      <c r="B37" s="706" t="s">
        <v>1829</v>
      </c>
      <c r="C37" s="706" t="str">
        <f>VLOOKUP(B37,COSTING!$B$8:$N$913,2,)</f>
        <v>Cheesling Chicken (1pc) - Tteokbokki Combo</v>
      </c>
      <c r="D37" s="706">
        <f>VLOOKUP(B37,COSTING!$B$8:$N$913,3,)</f>
        <v>56100.000000000007</v>
      </c>
      <c r="E37" s="707">
        <v>51000</v>
      </c>
      <c r="F37" s="707">
        <f>VLOOKUP(B37,COSTING!$B$8:$N$913,5,)</f>
        <v>15811.382085436753</v>
      </c>
      <c r="G37" s="707">
        <f>VLOOKUP(B37,COSTING!$B$8:$N$913,6,)</f>
        <v>16615.382085436751</v>
      </c>
      <c r="H37" s="708">
        <f>VLOOKUP(B37,COSTING!$B$8:$N$913,7,)</f>
        <v>0.31002709971444614</v>
      </c>
      <c r="I37" s="708">
        <f>VLOOKUP(B37,COSTING!$B$8:$N$913,8,)</f>
        <v>0.32579180559679904</v>
      </c>
      <c r="J37" s="707">
        <f>VLOOKUP(B37,COSTING!$B$8:$N$913,9,)</f>
        <v>0</v>
      </c>
      <c r="K37" s="707">
        <f>VLOOKUP(B37,COSTING!$B$8:$N$913,10,)</f>
        <v>0</v>
      </c>
      <c r="L37" s="708" t="str">
        <f>VLOOKUP(B37,COSTING!$B$8:$N$913,11,)</f>
        <v/>
      </c>
      <c r="M37" s="709"/>
      <c r="N37" s="709"/>
    </row>
    <row r="38" spans="2:14">
      <c r="B38" s="706" t="s">
        <v>1830</v>
      </c>
      <c r="C38" s="706" t="str">
        <f>VLOOKUP(B38,COSTING!$B$8:$N$913,2,)</f>
        <v>Mala Hot Chicken (1pc) - Tteokbokki Combo</v>
      </c>
      <c r="D38" s="706">
        <f>VLOOKUP(B38,COSTING!$B$8:$N$913,3,)</f>
        <v>56100.000000000007</v>
      </c>
      <c r="E38" s="707">
        <v>51000</v>
      </c>
      <c r="F38" s="707">
        <f>VLOOKUP(B38,COSTING!$B$8:$N$913,5,)</f>
        <v>16321.955098732982</v>
      </c>
      <c r="G38" s="707">
        <f>VLOOKUP(B38,COSTING!$B$8:$N$913,6,)</f>
        <v>17125.955098732982</v>
      </c>
      <c r="H38" s="708">
        <f>VLOOKUP(B38,COSTING!$B$8:$N$913,7,)</f>
        <v>0.32003833526927417</v>
      </c>
      <c r="I38" s="708">
        <f>VLOOKUP(B38,COSTING!$B$8:$N$913,8,)</f>
        <v>0.33580304115162712</v>
      </c>
      <c r="J38" s="707">
        <f>VLOOKUP(B38,COSTING!$B$8:$N$913,9,)</f>
        <v>0</v>
      </c>
      <c r="K38" s="707">
        <f>VLOOKUP(B38,COSTING!$B$8:$N$913,10,)</f>
        <v>0</v>
      </c>
      <c r="L38" s="708" t="str">
        <f>VLOOKUP(B38,COSTING!$B$8:$N$913,11,)</f>
        <v/>
      </c>
      <c r="M38" s="709"/>
      <c r="N38" s="709"/>
    </row>
    <row r="39" spans="2:14">
      <c r="B39" s="706" t="s">
        <v>1831</v>
      </c>
      <c r="C39" s="706" t="str">
        <f>VLOOKUP(B39,COSTING!$B$8:$N$913,2,)</f>
        <v>Soy Garlic Chicken (1pc) - Tteokbokki Combo</v>
      </c>
      <c r="D39" s="706">
        <f>VLOOKUP(B39,COSTING!$B$8:$N$913,3,)</f>
        <v>56100.000000000007</v>
      </c>
      <c r="E39" s="707">
        <v>51000</v>
      </c>
      <c r="F39" s="707">
        <f>VLOOKUP(B39,COSTING!$B$8:$N$913,5,)</f>
        <v>16075.703125879445</v>
      </c>
      <c r="G39" s="707">
        <f>VLOOKUP(B39,COSTING!$B$8:$N$913,6,)</f>
        <v>16879.703125879445</v>
      </c>
      <c r="H39" s="708">
        <f>VLOOKUP(B39,COSTING!$B$8:$N$913,7,)</f>
        <v>0.31520986521332245</v>
      </c>
      <c r="I39" s="708">
        <f>VLOOKUP(B39,COSTING!$B$8:$N$913,8,)</f>
        <v>0.33097457109567541</v>
      </c>
      <c r="J39" s="707">
        <f>VLOOKUP(B39,COSTING!$B$8:$N$913,9,)</f>
        <v>0</v>
      </c>
      <c r="K39" s="707">
        <f>VLOOKUP(B39,COSTING!$B$8:$N$913,10,)</f>
        <v>0</v>
      </c>
      <c r="L39" s="708" t="str">
        <f>VLOOKUP(B39,COSTING!$B$8:$N$913,11,)</f>
        <v/>
      </c>
      <c r="M39" s="709"/>
      <c r="N39" s="709"/>
    </row>
    <row r="40" spans="2:14">
      <c r="B40" s="706" t="s">
        <v>1832</v>
      </c>
      <c r="C40" s="706" t="str">
        <f>VLOOKUP(B40,COSTING!$B$8:$N$913,2,)</f>
        <v>GangJeong Chicken (1pc) - Tteokbokki Combo</v>
      </c>
      <c r="D40" s="706">
        <f>VLOOKUP(B40,COSTING!$B$8:$N$913,3,)</f>
        <v>56100.000000000007</v>
      </c>
      <c r="E40" s="707">
        <v>51000</v>
      </c>
      <c r="F40" s="707">
        <f>VLOOKUP(B40,COSTING!$B$8:$N$913,5,)</f>
        <v>16128.298320562017</v>
      </c>
      <c r="G40" s="707">
        <f>VLOOKUP(B40,COSTING!$B$8:$N$913,6,)</f>
        <v>16932.298320562018</v>
      </c>
      <c r="H40" s="708">
        <f>VLOOKUP(B40,COSTING!$B$8:$N$913,7,)</f>
        <v>0.3162411435404317</v>
      </c>
      <c r="I40" s="708">
        <f>VLOOKUP(B40,COSTING!$B$8:$N$913,8,)</f>
        <v>0.33200584942278466</v>
      </c>
      <c r="J40" s="707">
        <f>VLOOKUP(B40,COSTING!$B$8:$N$913,9,)</f>
        <v>0</v>
      </c>
      <c r="K40" s="707">
        <f>VLOOKUP(B40,COSTING!$B$8:$N$913,10,)</f>
        <v>0</v>
      </c>
      <c r="L40" s="708" t="e">
        <f>VLOOKUP(B40,COSTING!$B$8:$N$913,11,)</f>
        <v>#DIV/0!</v>
      </c>
      <c r="M40" s="709"/>
      <c r="N40" s="709"/>
    </row>
    <row r="41" spans="2:14">
      <c r="B41" s="710" t="s">
        <v>1833</v>
      </c>
      <c r="C41" s="710" t="str">
        <f>VLOOKUP(B41,COSTING!$B$8:$N$913,2,)</f>
        <v>Golden Fried Chicken (2pcs) - Rice Combo</v>
      </c>
      <c r="D41" s="710">
        <f>VLOOKUP(B41,COSTING!$B$8:$N$913,3,)</f>
        <v>53900.000000000007</v>
      </c>
      <c r="E41" s="711">
        <v>49000</v>
      </c>
      <c r="F41" s="711">
        <f>VLOOKUP(B41,COSTING!$B$8:$N$913,5,)</f>
        <v>19745.237442074471</v>
      </c>
      <c r="G41" s="711">
        <f>VLOOKUP(B41,COSTING!$B$8:$N$913,6,)</f>
        <v>20583.237442074471</v>
      </c>
      <c r="H41" s="712">
        <f>VLOOKUP(B41,COSTING!$B$8:$N$913,7,)</f>
        <v>0.40296402943009124</v>
      </c>
      <c r="I41" s="712">
        <f>VLOOKUP(B41,COSTING!$B$8:$N$913,8,)</f>
        <v>0.42006607024641779</v>
      </c>
      <c r="J41" s="711">
        <f>VLOOKUP(B41,COSTING!$B$8:$N$913,9,)</f>
        <v>41.5</v>
      </c>
      <c r="K41" s="711">
        <f>VLOOKUP(B41,COSTING!$B$8:$N$913,10,)</f>
        <v>6</v>
      </c>
      <c r="L41" s="712">
        <f>VLOOKUP(B41,COSTING!$B$8:$N$913,11,)</f>
        <v>0.40512428721741672</v>
      </c>
      <c r="M41" s="541"/>
      <c r="N41" s="541"/>
    </row>
    <row r="42" spans="2:14">
      <c r="B42" s="710" t="s">
        <v>1834</v>
      </c>
      <c r="C42" s="710" t="str">
        <f>VLOOKUP(B42,COSTING!$B$8:$N$913,2,)</f>
        <v>Hot Spicy Chicken (2pcs) - Rice Combo</v>
      </c>
      <c r="D42" s="710">
        <f>VLOOKUP(B42,COSTING!$B$8:$N$913,3,)</f>
        <v>60500.000000000007</v>
      </c>
      <c r="E42" s="711">
        <v>55000</v>
      </c>
      <c r="F42" s="711">
        <f>VLOOKUP(B42,COSTING!$B$8:$N$913,5,)</f>
        <v>25406.044733741142</v>
      </c>
      <c r="G42" s="711">
        <f>VLOOKUP(B42,COSTING!$B$8:$N$913,6,)</f>
        <v>26244.044733741142</v>
      </c>
      <c r="H42" s="712">
        <f>VLOOKUP(B42,COSTING!$B$8:$N$913,7,)</f>
        <v>0.46192808606802077</v>
      </c>
      <c r="I42" s="712">
        <f>VLOOKUP(B42,COSTING!$B$8:$N$913,8,)</f>
        <v>0.47716444970438443</v>
      </c>
      <c r="J42" s="711">
        <f>VLOOKUP(B42,COSTING!$B$8:$N$913,9,)</f>
        <v>0</v>
      </c>
      <c r="K42" s="711">
        <f>VLOOKUP(B42,COSTING!$B$8:$N$913,10,)</f>
        <v>0</v>
      </c>
      <c r="L42" s="712" t="e">
        <f>VLOOKUP(B42,COSTING!$B$8:$N$913,11,)</f>
        <v>#DIV/0!</v>
      </c>
      <c r="M42" s="541"/>
      <c r="N42" s="541"/>
    </row>
    <row r="43" spans="2:14">
      <c r="B43" s="710" t="s">
        <v>1835</v>
      </c>
      <c r="C43" s="710" t="str">
        <f>VLOOKUP(B43,COSTING!$B$8:$N$913,2,)</f>
        <v>Cheeseling Chicken (2pcs) - Rice Combo</v>
      </c>
      <c r="D43" s="710">
        <f>VLOOKUP(B43,COSTING!$B$8:$N$913,3,)</f>
        <v>60500.000000000007</v>
      </c>
      <c r="E43" s="711">
        <v>55000</v>
      </c>
      <c r="F43" s="711">
        <f>VLOOKUP(B43,COSTING!$B$8:$N$913,5,)</f>
        <v>18371.12846515037</v>
      </c>
      <c r="G43" s="711">
        <f>VLOOKUP(B43,COSTING!$B$8:$N$913,6,)</f>
        <v>19209.12846515037</v>
      </c>
      <c r="H43" s="712">
        <f>VLOOKUP(B43,COSTING!$B$8:$N$913,7,)</f>
        <v>0.33402051754818857</v>
      </c>
      <c r="I43" s="712">
        <f>VLOOKUP(B43,COSTING!$B$8:$N$913,8,)</f>
        <v>0.34925688118455217</v>
      </c>
      <c r="J43" s="711">
        <f>VLOOKUP(B43,COSTING!$B$8:$N$913,9,)</f>
        <v>86</v>
      </c>
      <c r="K43" s="711">
        <f>VLOOKUP(B43,COSTING!$B$8:$N$913,10,)</f>
        <v>10.5</v>
      </c>
      <c r="L43" s="712">
        <f>VLOOKUP(B43,COSTING!$B$8:$N$913,11,)</f>
        <v>0.33567836022364778</v>
      </c>
      <c r="M43" s="541"/>
      <c r="N43" s="541"/>
    </row>
    <row r="44" spans="2:14">
      <c r="B44" s="710" t="s">
        <v>1836</v>
      </c>
      <c r="C44" s="710" t="str">
        <f>VLOOKUP(B44,COSTING!$B$8:$N$913,2,)</f>
        <v>Mala Hot Chicken (2pcs) - Rice Combo</v>
      </c>
      <c r="D44" s="710">
        <f>VLOOKUP(B44,COSTING!$B$8:$N$913,3,)</f>
        <v>60500.000000000007</v>
      </c>
      <c r="E44" s="711">
        <v>55000</v>
      </c>
      <c r="F44" s="711">
        <f>VLOOKUP(B44,COSTING!$B$8:$N$913,5,)</f>
        <v>19116.870667789</v>
      </c>
      <c r="G44" s="711">
        <f>VLOOKUP(B44,COSTING!$B$8:$N$913,6,)</f>
        <v>19954.870667789</v>
      </c>
      <c r="H44" s="712">
        <f>VLOOKUP(B44,COSTING!$B$8:$N$913,7,)</f>
        <v>0.34757946668707274</v>
      </c>
      <c r="I44" s="712">
        <f>VLOOKUP(B44,COSTING!$B$8:$N$913,8,)</f>
        <v>0.36281583032343639</v>
      </c>
      <c r="J44" s="711">
        <f>VLOOKUP(B44,COSTING!$B$8:$N$913,9,)</f>
        <v>23</v>
      </c>
      <c r="K44" s="711">
        <f>VLOOKUP(B44,COSTING!$B$8:$N$913,10,)</f>
        <v>1</v>
      </c>
      <c r="L44" s="712">
        <f>VLOOKUP(B44,COSTING!$B$8:$N$913,11,)</f>
        <v>0.3482143151719212</v>
      </c>
      <c r="M44" s="541"/>
      <c r="N44" s="541"/>
    </row>
    <row r="45" spans="2:14">
      <c r="B45" s="710" t="s">
        <v>1837</v>
      </c>
      <c r="C45" s="710" t="str">
        <f>VLOOKUP(B45,COSTING!$B$8:$N$913,2,)</f>
        <v>Soy Garlic Chicken (2pcs) - Rice Combo</v>
      </c>
      <c r="D45" s="710">
        <f>VLOOKUP(B45,COSTING!$B$8:$N$913,3,)</f>
        <v>60500.000000000007</v>
      </c>
      <c r="E45" s="711">
        <v>55000</v>
      </c>
      <c r="F45" s="711">
        <f>VLOOKUP(B45,COSTING!$B$8:$N$913,5,)</f>
        <v>18721.725812991019</v>
      </c>
      <c r="G45" s="711">
        <f>VLOOKUP(B45,COSTING!$B$8:$N$913,6,)</f>
        <v>19559.725812991019</v>
      </c>
      <c r="H45" s="712">
        <f>VLOOKUP(B45,COSTING!$B$8:$N$913,7,)</f>
        <v>0.3403950147816549</v>
      </c>
      <c r="I45" s="712">
        <f>VLOOKUP(B45,COSTING!$B$8:$N$913,8,)</f>
        <v>0.35563137841801851</v>
      </c>
      <c r="J45" s="711">
        <f>VLOOKUP(B45,COSTING!$B$8:$N$913,9,)</f>
        <v>68</v>
      </c>
      <c r="K45" s="711">
        <f>VLOOKUP(B45,COSTING!$B$8:$N$913,10,)</f>
        <v>17</v>
      </c>
      <c r="L45" s="712">
        <f>VLOOKUP(B45,COSTING!$B$8:$N$913,11,)</f>
        <v>0.34344228750892758</v>
      </c>
      <c r="M45" s="541"/>
      <c r="N45" s="541"/>
    </row>
    <row r="46" spans="2:14">
      <c r="B46" s="710" t="s">
        <v>1838</v>
      </c>
      <c r="C46" s="710" t="str">
        <f>VLOOKUP(B46,COSTING!$B$8:$N$913,2,)</f>
        <v>GangJeong Chicken (2pcs) - Rice Combo</v>
      </c>
      <c r="D46" s="710">
        <f>VLOOKUP(B46,COSTING!$B$8:$N$913,3,)</f>
        <v>60500.000000000007</v>
      </c>
      <c r="E46" s="711">
        <v>55000</v>
      </c>
      <c r="F46" s="711">
        <f>VLOOKUP(B46,COSTING!$B$8:$N$913,5,)</f>
        <v>18870.006048182848</v>
      </c>
      <c r="G46" s="711">
        <f>VLOOKUP(B46,COSTING!$B$8:$N$913,6,)</f>
        <v>19674.006048182848</v>
      </c>
      <c r="H46" s="712">
        <f>VLOOKUP(B46,COSTING!$B$8:$N$913,7,)</f>
        <v>0.34309101905786998</v>
      </c>
      <c r="I46" s="712">
        <f>VLOOKUP(B46,COSTING!$B$8:$N$913,8,)</f>
        <v>0.35770920087605179</v>
      </c>
      <c r="J46" s="711">
        <f>VLOOKUP(B46,COSTING!$B$8:$N$913,9,)</f>
        <v>0</v>
      </c>
      <c r="K46" s="711">
        <f>VLOOKUP(B46,COSTING!$B$8:$N$913,10,)</f>
        <v>0</v>
      </c>
      <c r="L46" s="712" t="e">
        <f>VLOOKUP(B46,COSTING!$B$8:$N$913,11,)</f>
        <v>#DIV/0!</v>
      </c>
      <c r="M46" s="541"/>
      <c r="N46" s="541"/>
    </row>
    <row r="47" spans="2:14">
      <c r="B47" s="710" t="s">
        <v>1839</v>
      </c>
      <c r="C47" s="710" t="str">
        <f>VLOOKUP(B47,COSTING!$B$8:$N$913,2,)</f>
        <v>Golden Fried Chicken (2pcs) - Fries Combo</v>
      </c>
      <c r="D47" s="710">
        <f>VLOOKUP(B47,COSTING!$B$8:$N$913,3,)</f>
        <v>59400.000000000007</v>
      </c>
      <c r="E47" s="711">
        <v>54000</v>
      </c>
      <c r="F47" s="711">
        <f>VLOOKUP(B47,COSTING!$B$8:$N$913,5,)</f>
        <v>23509.016398303425</v>
      </c>
      <c r="G47" s="711">
        <f>VLOOKUP(B47,COSTING!$B$8:$N$913,6,)</f>
        <v>24549.016398303425</v>
      </c>
      <c r="H47" s="712">
        <f>VLOOKUP(B47,COSTING!$B$8:$N$913,7,)</f>
        <v>0.43535215552413753</v>
      </c>
      <c r="I47" s="712">
        <f>VLOOKUP(B47,COSTING!$B$8:$N$913,8,)</f>
        <v>0.45461141478339678</v>
      </c>
      <c r="J47" s="711">
        <f>VLOOKUP(B47,COSTING!$B$8:$N$913,9,)</f>
        <v>13</v>
      </c>
      <c r="K47" s="711">
        <f>VLOOKUP(B47,COSTING!$B$8:$N$913,10,)</f>
        <v>5</v>
      </c>
      <c r="L47" s="712">
        <f>VLOOKUP(B47,COSTING!$B$8:$N$913,11,)</f>
        <v>0.44070194976282062</v>
      </c>
      <c r="M47" s="541"/>
      <c r="N47" s="541"/>
    </row>
    <row r="48" spans="2:14">
      <c r="B48" s="710" t="s">
        <v>1840</v>
      </c>
      <c r="C48" s="710" t="str">
        <f>VLOOKUP(B48,COSTING!$B$8:$N$913,2,)</f>
        <v>Hot Spicy Chicken (2pcs) - Fries Combo</v>
      </c>
      <c r="D48" s="710">
        <f>VLOOKUP(B48,COSTING!$B$8:$N$913,3,)</f>
        <v>66000</v>
      </c>
      <c r="E48" s="711">
        <v>60000</v>
      </c>
      <c r="F48" s="711">
        <f>VLOOKUP(B48,COSTING!$B$8:$N$913,5,)</f>
        <v>29169.823689970097</v>
      </c>
      <c r="G48" s="711">
        <f>VLOOKUP(B48,COSTING!$B$8:$N$913,6,)</f>
        <v>30209.823689970097</v>
      </c>
      <c r="H48" s="712">
        <f>VLOOKUP(B48,COSTING!$B$8:$N$913,7,)</f>
        <v>0.48616372816616826</v>
      </c>
      <c r="I48" s="712">
        <f>VLOOKUP(B48,COSTING!$B$8:$N$913,8,)</f>
        <v>0.50349706149950157</v>
      </c>
      <c r="J48" s="711">
        <f>VLOOKUP(B48,COSTING!$B$8:$N$913,9,)</f>
        <v>0</v>
      </c>
      <c r="K48" s="711">
        <f>VLOOKUP(B48,COSTING!$B$8:$N$913,10,)</f>
        <v>0</v>
      </c>
      <c r="L48" s="712" t="e">
        <f>VLOOKUP(B48,COSTING!$B$8:$N$913,11,)</f>
        <v>#DIV/0!</v>
      </c>
      <c r="M48" s="541"/>
      <c r="N48" s="541"/>
    </row>
    <row r="49" spans="2:14">
      <c r="B49" s="710" t="s">
        <v>1841</v>
      </c>
      <c r="C49" s="710" t="str">
        <f>VLOOKUP(B49,COSTING!$B$8:$N$913,2,)</f>
        <v>Cheesling Chicken (2pcs) - Fries Combo</v>
      </c>
      <c r="D49" s="710">
        <f>VLOOKUP(B49,COSTING!$B$8:$N$913,3,)</f>
        <v>66000</v>
      </c>
      <c r="E49" s="711">
        <v>60000</v>
      </c>
      <c r="F49" s="711">
        <f>VLOOKUP(B49,COSTING!$B$8:$N$913,5,)</f>
        <v>22134.907421379325</v>
      </c>
      <c r="G49" s="711">
        <f>VLOOKUP(B49,COSTING!$B$8:$N$913,6,)</f>
        <v>23140.907421379325</v>
      </c>
      <c r="H49" s="712">
        <f>VLOOKUP(B49,COSTING!$B$8:$N$913,7,)</f>
        <v>0.3689151236896554</v>
      </c>
      <c r="I49" s="712">
        <f>VLOOKUP(B49,COSTING!$B$8:$N$913,8,)</f>
        <v>0.38568179035632205</v>
      </c>
      <c r="J49" s="711">
        <f>VLOOKUP(B49,COSTING!$B$8:$N$913,9,)</f>
        <v>13</v>
      </c>
      <c r="K49" s="711">
        <f>VLOOKUP(B49,COSTING!$B$8:$N$913,10,)</f>
        <v>8</v>
      </c>
      <c r="L49" s="712">
        <f>VLOOKUP(B49,COSTING!$B$8:$N$913,11,)</f>
        <v>0.37530242527695695</v>
      </c>
      <c r="M49" s="541"/>
      <c r="N49" s="541"/>
    </row>
    <row r="50" spans="2:14">
      <c r="B50" s="710" t="s">
        <v>1842</v>
      </c>
      <c r="C50" s="710" t="str">
        <f>VLOOKUP(B50,COSTING!$B$8:$N$913,2,)</f>
        <v>Mala Hot Chicken (2pcs) - Fries Combo</v>
      </c>
      <c r="D50" s="710">
        <f>VLOOKUP(B50,COSTING!$B$8:$N$913,3,)</f>
        <v>66000</v>
      </c>
      <c r="E50" s="711">
        <v>60000</v>
      </c>
      <c r="F50" s="711">
        <f>VLOOKUP(B50,COSTING!$B$8:$N$913,5,)</f>
        <v>23097.099624017956</v>
      </c>
      <c r="G50" s="711">
        <f>VLOOKUP(B50,COSTING!$B$8:$N$913,6,)</f>
        <v>24137.099624017956</v>
      </c>
      <c r="H50" s="712">
        <f>VLOOKUP(B50,COSTING!$B$8:$N$913,7,)</f>
        <v>0.38495166040029927</v>
      </c>
      <c r="I50" s="712">
        <f>VLOOKUP(B50,COSTING!$B$8:$N$913,8,)</f>
        <v>0.40228499373363258</v>
      </c>
      <c r="J50" s="711">
        <f>VLOOKUP(B50,COSTING!$B$8:$N$913,9,)</f>
        <v>12</v>
      </c>
      <c r="K50" s="711">
        <f>VLOOKUP(B50,COSTING!$B$8:$N$913,10,)</f>
        <v>5</v>
      </c>
      <c r="L50" s="712">
        <f>VLOOKUP(B50,COSTING!$B$8:$N$913,11,)</f>
        <v>0.39004969961598551</v>
      </c>
      <c r="M50" s="541"/>
      <c r="N50" s="541"/>
    </row>
    <row r="51" spans="2:14">
      <c r="B51" s="710" t="s">
        <v>1843</v>
      </c>
      <c r="C51" s="710" t="str">
        <f>VLOOKUP(B51,COSTING!$B$8:$N$913,2,)</f>
        <v>Soy Garlic Chicken (2pcs) - Fries Combo</v>
      </c>
      <c r="D51" s="710">
        <f>VLOOKUP(B51,COSTING!$B$8:$N$913,3,)</f>
        <v>66000</v>
      </c>
      <c r="E51" s="711">
        <v>60000</v>
      </c>
      <c r="F51" s="711">
        <f>VLOOKUP(B51,COSTING!$B$8:$N$913,5,)</f>
        <v>22485.504769219973</v>
      </c>
      <c r="G51" s="711">
        <f>VLOOKUP(B51,COSTING!$B$8:$N$913,6,)</f>
        <v>23525.504769219973</v>
      </c>
      <c r="H51" s="712">
        <f>VLOOKUP(B51,COSTING!$B$8:$N$913,7,)</f>
        <v>0.3747584128203329</v>
      </c>
      <c r="I51" s="712">
        <f>VLOOKUP(B51,COSTING!$B$8:$N$913,8,)</f>
        <v>0.39209174615366621</v>
      </c>
      <c r="J51" s="711">
        <f>VLOOKUP(B51,COSTING!$B$8:$N$913,9,)</f>
        <v>12</v>
      </c>
      <c r="K51" s="711">
        <f>VLOOKUP(B51,COSTING!$B$8:$N$913,10,)</f>
        <v>5</v>
      </c>
      <c r="L51" s="712">
        <f>VLOOKUP(B51,COSTING!$B$8:$N$913,11,)</f>
        <v>0.37985645203601914</v>
      </c>
      <c r="M51" s="541"/>
      <c r="N51" s="541"/>
    </row>
    <row r="52" spans="2:14">
      <c r="B52" s="710" t="s">
        <v>1844</v>
      </c>
      <c r="C52" s="710" t="str">
        <f>VLOOKUP(B52,COSTING!$B$8:$N$913,2,)</f>
        <v>GangJeong Chicken (2pcs) - Fries Combo</v>
      </c>
      <c r="D52" s="710">
        <f>VLOOKUP(B52,COSTING!$B$8:$N$913,3,)</f>
        <v>66000</v>
      </c>
      <c r="E52" s="711">
        <v>60000</v>
      </c>
      <c r="F52" s="711">
        <f>VLOOKUP(B52,COSTING!$B$8:$N$913,5,)</f>
        <v>22633.785004411806</v>
      </c>
      <c r="G52" s="711">
        <f>VLOOKUP(B52,COSTING!$B$8:$N$913,6,)</f>
        <v>23639.785004411806</v>
      </c>
      <c r="H52" s="712">
        <f>VLOOKUP(B52,COSTING!$B$8:$N$913,7,)</f>
        <v>0.3772297500735301</v>
      </c>
      <c r="I52" s="712">
        <f>VLOOKUP(B52,COSTING!$B$8:$N$913,8,)</f>
        <v>0.39399641674019675</v>
      </c>
      <c r="J52" s="711">
        <f>VLOOKUP(B52,COSTING!$B$8:$N$913,9,)</f>
        <v>0</v>
      </c>
      <c r="K52" s="711">
        <f>VLOOKUP(B52,COSTING!$B$8:$N$913,10,)</f>
        <v>0</v>
      </c>
      <c r="L52" s="712" t="e">
        <f>VLOOKUP(B52,COSTING!$B$8:$N$913,11,)</f>
        <v>#DIV/0!</v>
      </c>
      <c r="M52" s="541"/>
      <c r="N52" s="541"/>
    </row>
    <row r="53" spans="2:14">
      <c r="B53" s="710" t="s">
        <v>1845</v>
      </c>
      <c r="C53" s="710" t="str">
        <f>VLOOKUP(B53,COSTING!$B$8:$N$913,2,)</f>
        <v>Golden Fried Chicken (2pcs) - Tteokbokki Combo</v>
      </c>
      <c r="D53" s="710">
        <f>VLOOKUP(B53,COSTING!$B$8:$N$913,3,)</f>
        <v>67100</v>
      </c>
      <c r="E53" s="711">
        <v>61000</v>
      </c>
      <c r="F53" s="711">
        <f>VLOOKUP(B53,COSTING!$B$8:$N$913,5,)</f>
        <v>24637.137762468508</v>
      </c>
      <c r="G53" s="711">
        <f>VLOOKUP(B53,COSTING!$B$8:$N$913,6,)</f>
        <v>24981.137762468508</v>
      </c>
      <c r="H53" s="712">
        <f>VLOOKUP(B53,COSTING!$B$8:$N$913,7,)</f>
        <v>0.40388750430276243</v>
      </c>
      <c r="I53" s="712">
        <f>VLOOKUP(B53,COSTING!$B$8:$N$913,8,)</f>
        <v>0.4095268485650575</v>
      </c>
      <c r="J53" s="711">
        <f>VLOOKUP(B53,COSTING!$B$8:$N$913,9,)</f>
        <v>4</v>
      </c>
      <c r="K53" s="711">
        <f>VLOOKUP(B53,COSTING!$B$8:$N$913,10,)</f>
        <v>2</v>
      </c>
      <c r="L53" s="712">
        <f>VLOOKUP(B53,COSTING!$B$8:$N$913,11,)</f>
        <v>0.40576728572352744</v>
      </c>
      <c r="M53" s="541"/>
      <c r="N53" s="541"/>
    </row>
    <row r="54" spans="2:14">
      <c r="B54" s="710" t="s">
        <v>1846</v>
      </c>
      <c r="C54" s="710" t="str">
        <f>VLOOKUP(B54,COSTING!$B$8:$N$913,2,)</f>
        <v>Hot Spicy Chicken (2pcs) - Tteokbokki Combo</v>
      </c>
      <c r="D54" s="710">
        <f>VLOOKUP(B54,COSTING!$B$8:$N$913,3,)</f>
        <v>73700</v>
      </c>
      <c r="E54" s="711">
        <v>67000</v>
      </c>
      <c r="F54" s="711">
        <f>VLOOKUP(B54,COSTING!$B$8:$N$913,5,)</f>
        <v>30297.94505413518</v>
      </c>
      <c r="G54" s="711">
        <f>VLOOKUP(B54,COSTING!$B$8:$N$913,6,)</f>
        <v>31135.94505413518</v>
      </c>
      <c r="H54" s="712">
        <f>VLOOKUP(B54,COSTING!$B$8:$N$913,7,)</f>
        <v>0.45220813513634595</v>
      </c>
      <c r="I54" s="712">
        <f>VLOOKUP(B54,COSTING!$B$8:$N$913,8,)</f>
        <v>0.46471559782291311</v>
      </c>
      <c r="J54" s="711">
        <f>VLOOKUP(B54,COSTING!$B$8:$N$913,9,)</f>
        <v>0</v>
      </c>
      <c r="K54" s="711">
        <f>VLOOKUP(B54,COSTING!$B$8:$N$913,10,)</f>
        <v>0</v>
      </c>
      <c r="L54" s="712" t="e">
        <f>VLOOKUP(B54,COSTING!$B$8:$N$913,11,)</f>
        <v>#DIV/0!</v>
      </c>
      <c r="M54" s="541"/>
      <c r="N54" s="541"/>
    </row>
    <row r="55" spans="2:14">
      <c r="B55" s="710" t="s">
        <v>1847</v>
      </c>
      <c r="C55" s="710" t="str">
        <f>VLOOKUP(B55,COSTING!$B$8:$N$913,2,)</f>
        <v>Cheesling Chicken (2pcs) - Tteokbokki Combo</v>
      </c>
      <c r="D55" s="710">
        <f>VLOOKUP(B55,COSTING!$B$8:$N$913,3,)</f>
        <v>73700</v>
      </c>
      <c r="E55" s="711">
        <v>67000</v>
      </c>
      <c r="F55" s="711">
        <f>VLOOKUP(B55,COSTING!$B$8:$N$913,5,)</f>
        <v>23263.028785544408</v>
      </c>
      <c r="G55" s="711">
        <f>VLOOKUP(B55,COSTING!$B$8:$N$913,6,)</f>
        <v>24101.028785544408</v>
      </c>
      <c r="H55" s="712">
        <f>VLOOKUP(B55,COSTING!$B$8:$N$913,7,)</f>
        <v>0.34720938485887176</v>
      </c>
      <c r="I55" s="712">
        <f>VLOOKUP(B55,COSTING!$B$8:$N$913,8,)</f>
        <v>0.35971684754543892</v>
      </c>
      <c r="J55" s="711">
        <f>VLOOKUP(B55,COSTING!$B$8:$N$913,9,)</f>
        <v>4</v>
      </c>
      <c r="K55" s="711">
        <f>VLOOKUP(B55,COSTING!$B$8:$N$913,10,)</f>
        <v>1</v>
      </c>
      <c r="L55" s="712">
        <f>VLOOKUP(B55,COSTING!$B$8:$N$913,11,)</f>
        <v>0.34971087739618517</v>
      </c>
      <c r="M55" s="541"/>
      <c r="N55" s="541"/>
    </row>
    <row r="56" spans="2:14">
      <c r="B56" s="710" t="s">
        <v>1848</v>
      </c>
      <c r="C56" s="710" t="str">
        <f>VLOOKUP(B56,COSTING!$B$8:$N$913,2,)</f>
        <v>Mala Hot Chicken (2pcs) - Tteokbokki Combo</v>
      </c>
      <c r="D56" s="710">
        <f>VLOOKUP(B56,COSTING!$B$8:$N$913,3,)</f>
        <v>73700</v>
      </c>
      <c r="E56" s="711">
        <v>67000</v>
      </c>
      <c r="F56" s="711">
        <f>VLOOKUP(B56,COSTING!$B$8:$N$913,5,)</f>
        <v>24225.220988183039</v>
      </c>
      <c r="G56" s="711">
        <f>VLOOKUP(B56,COSTING!$B$8:$N$913,6,)</f>
        <v>25063.220988183039</v>
      </c>
      <c r="H56" s="712">
        <f>VLOOKUP(B56,COSTING!$B$8:$N$913,7,)</f>
        <v>0.36157046251019459</v>
      </c>
      <c r="I56" s="712">
        <f>VLOOKUP(B56,COSTING!$B$8:$N$913,8,)</f>
        <v>0.37407792519676175</v>
      </c>
      <c r="J56" s="711">
        <f>VLOOKUP(B56,COSTING!$B$8:$N$913,9,)</f>
        <v>4</v>
      </c>
      <c r="K56" s="711">
        <f>VLOOKUP(B56,COSTING!$B$8:$N$913,10,)</f>
        <v>1</v>
      </c>
      <c r="L56" s="712">
        <f>VLOOKUP(B56,COSTING!$B$8:$N$913,11,)</f>
        <v>0.364071955047508</v>
      </c>
      <c r="M56" s="541"/>
      <c r="N56" s="541"/>
    </row>
    <row r="57" spans="2:14">
      <c r="B57" s="710" t="s">
        <v>1849</v>
      </c>
      <c r="C57" s="710" t="str">
        <f>VLOOKUP(B57,COSTING!$B$8:$N$913,2,)</f>
        <v>Soy Garlic Chicken (2pcs) - Tteokbokki Combo</v>
      </c>
      <c r="D57" s="710">
        <f>VLOOKUP(B57,COSTING!$B$8:$N$913,3,)</f>
        <v>73700</v>
      </c>
      <c r="E57" s="711">
        <v>67000</v>
      </c>
      <c r="F57" s="711">
        <f>VLOOKUP(B57,COSTING!$B$8:$N$913,5,)</f>
        <v>23613.626133385053</v>
      </c>
      <c r="G57" s="711">
        <f>VLOOKUP(B57,COSTING!$B$8:$N$913,6,)</f>
        <v>24451.626133385053</v>
      </c>
      <c r="H57" s="712">
        <f>VLOOKUP(B57,COSTING!$B$8:$N$913,7,)</f>
        <v>0.35244218109529929</v>
      </c>
      <c r="I57" s="712">
        <f>VLOOKUP(B57,COSTING!$B$8:$N$913,8,)</f>
        <v>0.36494964378186645</v>
      </c>
      <c r="J57" s="711">
        <f>VLOOKUP(B57,COSTING!$B$8:$N$913,9,)</f>
        <v>4</v>
      </c>
      <c r="K57" s="711">
        <f>VLOOKUP(B57,COSTING!$B$8:$N$913,10,)</f>
        <v>1</v>
      </c>
      <c r="L57" s="712">
        <f>VLOOKUP(B57,COSTING!$B$8:$N$913,11,)</f>
        <v>0.35494367363261276</v>
      </c>
      <c r="M57" s="541"/>
      <c r="N57" s="541"/>
    </row>
    <row r="58" spans="2:14">
      <c r="B58" s="710" t="s">
        <v>1850</v>
      </c>
      <c r="C58" s="710" t="str">
        <f>VLOOKUP(B58,COSTING!$B$8:$N$913,2,)</f>
        <v>GangJeong Chicken (2pcs) - Tteokbokki Combo</v>
      </c>
      <c r="D58" s="710">
        <f>VLOOKUP(B58,COSTING!$B$8:$N$913,3,)</f>
        <v>73700</v>
      </c>
      <c r="E58" s="711">
        <v>67000</v>
      </c>
      <c r="F58" s="711">
        <f>VLOOKUP(B58,COSTING!$B$8:$N$913,5,)</f>
        <v>23761.906368576885</v>
      </c>
      <c r="G58" s="711">
        <f>VLOOKUP(B58,COSTING!$B$8:$N$913,6,)</f>
        <v>24599.906368576885</v>
      </c>
      <c r="H58" s="712">
        <f>VLOOKUP(B58,COSTING!$B$8:$N$913,7,)</f>
        <v>0.35465531893398339</v>
      </c>
      <c r="I58" s="712">
        <f>VLOOKUP(B58,COSTING!$B$8:$N$913,8,)</f>
        <v>0.36716278162055055</v>
      </c>
      <c r="J58" s="711">
        <f>VLOOKUP(B58,COSTING!$B$8:$N$913,9,)</f>
        <v>0</v>
      </c>
      <c r="K58" s="711">
        <f>VLOOKUP(B58,COSTING!$B$8:$N$913,10,)</f>
        <v>0</v>
      </c>
      <c r="L58" s="712" t="e">
        <f>VLOOKUP(B58,COSTING!$B$8:$N$913,11,)</f>
        <v>#DIV/0!</v>
      </c>
      <c r="M58" s="541"/>
      <c r="N58" s="541"/>
    </row>
    <row r="59" spans="2:14">
      <c r="B59" s="713" t="s">
        <v>656</v>
      </c>
      <c r="C59" s="713" t="str">
        <f>VLOOKUP(B59,COSTING!$B$8:$N$913,2,)</f>
        <v>Hot Spicy Cupbap</v>
      </c>
      <c r="D59" s="713">
        <f>VLOOKUP(B59,COSTING!$B$8:$N$913,3,)</f>
        <v>42900</v>
      </c>
      <c r="E59" s="714">
        <v>39000</v>
      </c>
      <c r="F59" s="714">
        <f>VLOOKUP(B59,COSTING!$B$8:$N$913,5,)</f>
        <v>14749.460183624167</v>
      </c>
      <c r="G59" s="714">
        <f>VLOOKUP(B59,COSTING!$B$8:$N$913,6,)</f>
        <v>14749.460183624167</v>
      </c>
      <c r="H59" s="715">
        <f>VLOOKUP(B59,COSTING!$B$8:$N$913,7,)</f>
        <v>0.37819128675959401</v>
      </c>
      <c r="I59" s="715">
        <f>VLOOKUP(B59,COSTING!$B$8:$N$913,8,)</f>
        <v>0.37819128675959401</v>
      </c>
      <c r="J59" s="714">
        <f>VLOOKUP(B59,COSTING!$B$8:$N$913,9,)</f>
        <v>0</v>
      </c>
      <c r="K59" s="714">
        <f>VLOOKUP(B59,COSTING!$B$8:$N$913,10,)</f>
        <v>0</v>
      </c>
      <c r="L59" s="715" t="e">
        <f>VLOOKUP(B59,COSTING!$B$8:$N$913,11,)</f>
        <v>#DIV/0!</v>
      </c>
      <c r="M59" s="540"/>
      <c r="N59" s="540"/>
    </row>
    <row r="60" spans="2:14">
      <c r="B60" s="713" t="s">
        <v>207</v>
      </c>
      <c r="C60" s="713" t="str">
        <f>VLOOKUP(B60,COSTING!$B$8:$N$913,2,)</f>
        <v>Mala Hot Cupbap</v>
      </c>
      <c r="D60" s="713">
        <f>VLOOKUP(B60,COSTING!$B$8:$N$913,3,)</f>
        <v>42900</v>
      </c>
      <c r="E60" s="714">
        <v>39000</v>
      </c>
      <c r="F60" s="714">
        <f>VLOOKUP(B60,COSTING!$B$8:$N$913,5,)</f>
        <v>14643.470600290831</v>
      </c>
      <c r="G60" s="714">
        <f>VLOOKUP(B60,COSTING!$B$8:$N$913,6,)</f>
        <v>14643.470600290831</v>
      </c>
      <c r="H60" s="715">
        <f>VLOOKUP(B60,COSTING!$B$8:$N$913,7,)</f>
        <v>0.37547360513566236</v>
      </c>
      <c r="I60" s="715">
        <f>VLOOKUP(B60,COSTING!$B$8:$N$913,8,)</f>
        <v>0.37547360513566236</v>
      </c>
      <c r="J60" s="714">
        <f>VLOOKUP(B60,COSTING!$B$8:$N$913,9,)</f>
        <v>1</v>
      </c>
      <c r="K60" s="714">
        <f>VLOOKUP(B60,COSTING!$B$8:$N$913,10,)</f>
        <v>0</v>
      </c>
      <c r="L60" s="715">
        <f>VLOOKUP(B60,COSTING!$B$8:$N$913,11,)</f>
        <v>0.37547360513566236</v>
      </c>
      <c r="M60" s="540"/>
      <c r="N60" s="540"/>
    </row>
    <row r="61" spans="2:14">
      <c r="B61" s="713" t="s">
        <v>208</v>
      </c>
      <c r="C61" s="713" t="str">
        <f>VLOOKUP(B61,COSTING!$B$8:$N$913,2,)</f>
        <v>Soy Garlic Cupbap</v>
      </c>
      <c r="D61" s="713">
        <f>VLOOKUP(B61,COSTING!$B$8:$N$913,3,)</f>
        <v>42900</v>
      </c>
      <c r="E61" s="714">
        <v>39000</v>
      </c>
      <c r="F61" s="714">
        <f>VLOOKUP(B61,COSTING!$B$8:$N$913,5,)</f>
        <v>14518.210183624167</v>
      </c>
      <c r="G61" s="714">
        <f>VLOOKUP(B61,COSTING!$B$8:$N$913,6,)</f>
        <v>14518.210183624167</v>
      </c>
      <c r="H61" s="715">
        <f>VLOOKUP(B61,COSTING!$B$8:$N$913,7,)</f>
        <v>0.37226179958010686</v>
      </c>
      <c r="I61" s="715">
        <f>VLOOKUP(B61,COSTING!$B$8:$N$913,8,)</f>
        <v>0.37226179958010686</v>
      </c>
      <c r="J61" s="714">
        <f>VLOOKUP(B61,COSTING!$B$8:$N$913,9,)</f>
        <v>2</v>
      </c>
      <c r="K61" s="714">
        <f>VLOOKUP(B61,COSTING!$B$8:$N$913,10,)</f>
        <v>1</v>
      </c>
      <c r="L61" s="715">
        <f>VLOOKUP(B61,COSTING!$B$8:$N$913,11,)</f>
        <v>0.37226179958010691</v>
      </c>
      <c r="M61" s="540"/>
      <c r="N61" s="540"/>
    </row>
    <row r="62" spans="2:14">
      <c r="B62" s="713" t="s">
        <v>209</v>
      </c>
      <c r="C62" s="713" t="str">
        <f>VLOOKUP(B62,COSTING!$B$8:$N$913,2,)</f>
        <v xml:space="preserve">Tteokbokki </v>
      </c>
      <c r="D62" s="713">
        <f>VLOOKUP(B62,COSTING!$B$8:$N$913,3,)</f>
        <v>31900.000000000004</v>
      </c>
      <c r="E62" s="714">
        <v>29000</v>
      </c>
      <c r="F62" s="714">
        <f>VLOOKUP(B62,COSTING!$B$8:$N$913,5,)</f>
        <v>9665.0373994982256</v>
      </c>
      <c r="G62" s="714">
        <f>VLOOKUP(B62,COSTING!$B$8:$N$913,6,)</f>
        <v>9665.0373994982256</v>
      </c>
      <c r="H62" s="715">
        <f>VLOOKUP(B62,COSTING!$B$8:$N$913,7,)</f>
        <v>0.33327715170683536</v>
      </c>
      <c r="I62" s="715">
        <f>VLOOKUP(B62,COSTING!$B$8:$N$913,8,)</f>
        <v>0.33327715170683536</v>
      </c>
      <c r="J62" s="714">
        <f>VLOOKUP(B62,COSTING!$B$8:$N$913,9,)</f>
        <v>82</v>
      </c>
      <c r="K62" s="714">
        <f>VLOOKUP(B62,COSTING!$B$8:$N$913,10,)</f>
        <v>26</v>
      </c>
      <c r="L62" s="715">
        <f>VLOOKUP(B62,COSTING!$B$8:$N$913,11,)</f>
        <v>0.33327715170683536</v>
      </c>
      <c r="M62" s="540"/>
      <c r="N62" s="540"/>
    </row>
    <row r="63" spans="2:14">
      <c r="B63" s="713" t="s">
        <v>210</v>
      </c>
      <c r="C63" s="713" t="str">
        <f>VLOOKUP(B63,COSTING!$B$8:$N$913,2,)</f>
        <v>Rose Tteokbokki</v>
      </c>
      <c r="D63" s="713">
        <f>VLOOKUP(B63,COSTING!$B$8:$N$913,3,)</f>
        <v>42900</v>
      </c>
      <c r="E63" s="714">
        <v>39000</v>
      </c>
      <c r="F63" s="714">
        <f>VLOOKUP(B63,COSTING!$B$8:$N$913,5,)</f>
        <v>8517.3853358231281</v>
      </c>
      <c r="G63" s="714">
        <f>VLOOKUP(B63,COSTING!$B$8:$N$913,6,)</f>
        <v>8517.3853358231281</v>
      </c>
      <c r="H63" s="715">
        <f>VLOOKUP(B63,COSTING!$B$8:$N$913,7,)</f>
        <v>0.21839449579033662</v>
      </c>
      <c r="I63" s="715">
        <f>VLOOKUP(B63,COSTING!$B$8:$N$913,8,)</f>
        <v>0.21839449579033662</v>
      </c>
      <c r="J63" s="714">
        <f>VLOOKUP(B63,COSTING!$B$8:$N$913,9,)</f>
        <v>56</v>
      </c>
      <c r="K63" s="714">
        <f>VLOOKUP(B63,COSTING!$B$8:$N$913,10,)</f>
        <v>20</v>
      </c>
      <c r="L63" s="715">
        <f>VLOOKUP(B63,COSTING!$B$8:$N$913,11,)</f>
        <v>0.21839449579033665</v>
      </c>
      <c r="M63" s="540"/>
      <c r="N63" s="540"/>
    </row>
    <row r="64" spans="2:14">
      <c r="B64" s="713" t="s">
        <v>211</v>
      </c>
      <c r="C64" s="713" t="str">
        <f>VLOOKUP(B64,COSTING!$B$8:$N$913,2,)</f>
        <v xml:space="preserve">Fried Mandu (Chicken) </v>
      </c>
      <c r="D64" s="713">
        <f>VLOOKUP(B64,COSTING!$B$8:$N$913,3,)</f>
        <v>25300.000000000004</v>
      </c>
      <c r="E64" s="714">
        <v>23000</v>
      </c>
      <c r="F64" s="714">
        <f>VLOOKUP(B64,COSTING!$B$8:$N$913,5,)</f>
        <v>7071.0666686868699</v>
      </c>
      <c r="G64" s="714">
        <f>VLOOKUP(B64,COSTING!$B$8:$N$913,6,)</f>
        <v>7071.0666686868699</v>
      </c>
      <c r="H64" s="715">
        <f>VLOOKUP(B64,COSTING!$B$8:$N$913,7,)</f>
        <v>0.30743768124725523</v>
      </c>
      <c r="I64" s="715">
        <f>VLOOKUP(B64,COSTING!$B$8:$N$913,8,)</f>
        <v>0.30743768124725523</v>
      </c>
      <c r="J64" s="714">
        <f>VLOOKUP(B64,COSTING!$B$8:$N$913,9,)</f>
        <v>44.4</v>
      </c>
      <c r="K64" s="714">
        <f>VLOOKUP(B64,COSTING!$B$8:$N$913,10,)</f>
        <v>16</v>
      </c>
      <c r="L64" s="715">
        <f>VLOOKUP(B64,COSTING!$B$8:$N$913,11,)</f>
        <v>0.30743768124725518</v>
      </c>
      <c r="M64" s="540"/>
      <c r="N64" s="540"/>
    </row>
    <row r="65" spans="2:14">
      <c r="B65" s="713" t="s">
        <v>212</v>
      </c>
      <c r="C65" s="713" t="str">
        <f>VLOOKUP(B65,COSTING!$B$8:$N$913,2,)</f>
        <v>Fried Mandu (Beef)</v>
      </c>
      <c r="D65" s="713">
        <f>VLOOKUP(B65,COSTING!$B$8:$N$913,3,)</f>
        <v>25300.000000000004</v>
      </c>
      <c r="E65" s="714">
        <v>23000</v>
      </c>
      <c r="F65" s="714">
        <f>VLOOKUP(B65,COSTING!$B$8:$N$913,5,)</f>
        <v>8436.2593686868677</v>
      </c>
      <c r="G65" s="714">
        <f>VLOOKUP(B65,COSTING!$B$8:$N$913,6,)</f>
        <v>8436.2593686868677</v>
      </c>
      <c r="H65" s="715">
        <f>VLOOKUP(B65,COSTING!$B$8:$N$913,7,)</f>
        <v>0.36679388559508119</v>
      </c>
      <c r="I65" s="715">
        <f>VLOOKUP(B65,COSTING!$B$8:$N$913,8,)</f>
        <v>0.36679388559508119</v>
      </c>
      <c r="J65" s="714">
        <f>VLOOKUP(B65,COSTING!$B$8:$N$913,9,)</f>
        <v>0</v>
      </c>
      <c r="K65" s="714">
        <f>VLOOKUP(B65,COSTING!$B$8:$N$913,10,)</f>
        <v>0</v>
      </c>
      <c r="L65" s="715" t="e">
        <f>VLOOKUP(B65,COSTING!$B$8:$N$913,11,)</f>
        <v>#DIV/0!</v>
      </c>
      <c r="M65" s="540"/>
      <c r="N65" s="540"/>
    </row>
    <row r="66" spans="2:14">
      <c r="B66" s="713" t="s">
        <v>213</v>
      </c>
      <c r="C66" s="713" t="str">
        <f>VLOOKUP(B66,COSTING!$B$8:$N$913,2,)</f>
        <v>K-Wings (Cheeseling) - 4pcs</v>
      </c>
      <c r="D66" s="713">
        <f>VLOOKUP(B66,COSTING!$B$8:$N$913,3,)</f>
        <v>31900.000000000004</v>
      </c>
      <c r="E66" s="714">
        <v>29000</v>
      </c>
      <c r="F66" s="714">
        <f>VLOOKUP(B66,COSTING!$B$8:$N$913,5,)</f>
        <v>15218.010010765247</v>
      </c>
      <c r="G66" s="714">
        <f>VLOOKUP(B66,COSTING!$B$8:$N$913,6,)</f>
        <v>15218.010010765247</v>
      </c>
      <c r="H66" s="715">
        <f>VLOOKUP(B66,COSTING!$B$8:$N$913,7,)</f>
        <v>0.52475896588845683</v>
      </c>
      <c r="I66" s="715">
        <f>VLOOKUP(B66,COSTING!$B$8:$N$913,8,)</f>
        <v>0.52475896588845683</v>
      </c>
      <c r="J66" s="714">
        <f>VLOOKUP(B66,COSTING!$B$8:$N$913,9,)</f>
        <v>34.5</v>
      </c>
      <c r="K66" s="714">
        <f>VLOOKUP(B66,COSTING!$B$8:$N$913,10,)</f>
        <v>28.5</v>
      </c>
      <c r="L66" s="715">
        <f>VLOOKUP(B66,COSTING!$B$8:$N$913,11,)</f>
        <v>0.52475896588845683</v>
      </c>
      <c r="M66" s="540"/>
      <c r="N66" s="540"/>
    </row>
    <row r="67" spans="2:14">
      <c r="B67" s="713" t="s">
        <v>1722</v>
      </c>
      <c r="C67" s="713" t="str">
        <f>VLOOKUP(B67,COSTING!$B$8:$N$913,2,)</f>
        <v>K-Wings (Mala-Hot) - 4pcs</v>
      </c>
      <c r="D67" s="713">
        <f>VLOOKUP(B67,COSTING!$B$8:$N$913,3,)</f>
        <v>31900.000000000004</v>
      </c>
      <c r="E67" s="714">
        <v>29000</v>
      </c>
      <c r="F67" s="714">
        <f>VLOOKUP(B67,COSTING!$B$8:$N$913,5,)</f>
        <v>16121.248389450053</v>
      </c>
      <c r="G67" s="714">
        <f>VLOOKUP(B67,COSTING!$B$8:$N$913,6,)</f>
        <v>16121.248389450053</v>
      </c>
      <c r="H67" s="715">
        <f>VLOOKUP(B67,COSTING!$B$8:$N$913,7,)</f>
        <v>0.55590511687758803</v>
      </c>
      <c r="I67" s="715">
        <f>VLOOKUP(B67,COSTING!$B$8:$N$913,8,)</f>
        <v>0.55590511687758803</v>
      </c>
      <c r="J67" s="714">
        <f>VLOOKUP(B67,COSTING!$B$8:$N$913,9,)</f>
        <v>14.5</v>
      </c>
      <c r="K67" s="714">
        <f>VLOOKUP(B67,COSTING!$B$8:$N$913,10,)</f>
        <v>9</v>
      </c>
      <c r="L67" s="715">
        <f>VLOOKUP(B67,COSTING!$B$8:$N$913,11,)</f>
        <v>0.55590511687758803</v>
      </c>
      <c r="M67" s="540"/>
      <c r="N67" s="540"/>
    </row>
    <row r="68" spans="2:14">
      <c r="B68" s="713" t="s">
        <v>214</v>
      </c>
      <c r="C68" s="713" t="str">
        <f>VLOOKUP(B68,COSTING!$B$8:$N$913,2,)</f>
        <v>Cheese Stick</v>
      </c>
      <c r="D68" s="713">
        <f>VLOOKUP(B68,COSTING!$B$8:$N$913,3,)</f>
        <v>25300.000000000004</v>
      </c>
      <c r="E68" s="714">
        <v>23000</v>
      </c>
      <c r="F68" s="714">
        <f>VLOOKUP(B68,COSTING!$B$8:$N$913,5,)</f>
        <v>12574.527151515151</v>
      </c>
      <c r="G68" s="714">
        <f>VLOOKUP(B68,COSTING!$B$8:$N$913,6,)</f>
        <v>12574.527151515151</v>
      </c>
      <c r="H68" s="715">
        <f>VLOOKUP(B68,COSTING!$B$8:$N$913,7,)</f>
        <v>0.5467185718050066</v>
      </c>
      <c r="I68" s="715">
        <f>VLOOKUP(B68,COSTING!$B$8:$N$913,8,)</f>
        <v>0.5467185718050066</v>
      </c>
      <c r="J68" s="714">
        <f>VLOOKUP(B68,COSTING!$B$8:$N$913,9,)</f>
        <v>17</v>
      </c>
      <c r="K68" s="714">
        <f>VLOOKUP(B68,COSTING!$B$8:$N$913,10,)</f>
        <v>10</v>
      </c>
      <c r="L68" s="715">
        <f>VLOOKUP(B68,COSTING!$B$8:$N$913,11,)</f>
        <v>0.5467185718050066</v>
      </c>
      <c r="M68" s="540"/>
      <c r="N68" s="540"/>
    </row>
    <row r="69" spans="2:14">
      <c r="B69" s="713" t="s">
        <v>215</v>
      </c>
      <c r="C69" s="713" t="str">
        <f>VLOOKUP(B69,COSTING!$B$8:$N$913,2,)</f>
        <v>K-Nugget (Gangjeong) - 4pcs</v>
      </c>
      <c r="D69" s="713">
        <f>VLOOKUP(B69,COSTING!$B$8:$N$913,3,)</f>
        <v>29700.000000000004</v>
      </c>
      <c r="E69" s="714">
        <v>27000</v>
      </c>
      <c r="F69" s="714">
        <f>VLOOKUP(B69,COSTING!$B$8:$N$913,5,)</f>
        <v>10488.530642206641</v>
      </c>
      <c r="G69" s="714">
        <f>VLOOKUP(B69,COSTING!$B$8:$N$913,6,)</f>
        <v>10488.530642206641</v>
      </c>
      <c r="H69" s="715">
        <f>VLOOKUP(B69,COSTING!$B$8:$N$913,7,)</f>
        <v>0.3884640978595052</v>
      </c>
      <c r="I69" s="715">
        <f>VLOOKUP(B69,COSTING!$B$8:$N$913,8,)</f>
        <v>0.3884640978595052</v>
      </c>
      <c r="J69" s="714">
        <f>VLOOKUP(B69,COSTING!$B$8:$N$913,9,)</f>
        <v>0</v>
      </c>
      <c r="K69" s="714">
        <f>VLOOKUP(B69,COSTING!$B$8:$N$913,10,)</f>
        <v>0</v>
      </c>
      <c r="L69" s="715" t="e">
        <f>VLOOKUP(B69,COSTING!$B$8:$N$913,11,)</f>
        <v>#DIV/0!</v>
      </c>
      <c r="M69" s="540"/>
      <c r="N69" s="540"/>
    </row>
    <row r="70" spans="2:14">
      <c r="B70" s="713" t="s">
        <v>216</v>
      </c>
      <c r="C70" s="713" t="str">
        <f>VLOOKUP(B70,COSTING!$B$8:$N$913,2,)</f>
        <v>K-Nugget (Mala Hot) - 4pcs</v>
      </c>
      <c r="D70" s="713">
        <f>VLOOKUP(B70,COSTING!$B$8:$N$913,3,)</f>
        <v>29700.000000000004</v>
      </c>
      <c r="E70" s="714">
        <v>27000</v>
      </c>
      <c r="F70" s="714">
        <f>VLOOKUP(B70,COSTING!$B$8:$N$913,5,)</f>
        <v>10582.475954706641</v>
      </c>
      <c r="G70" s="714">
        <f>VLOOKUP(B70,COSTING!$B$8:$N$913,6,)</f>
        <v>10582.475954706641</v>
      </c>
      <c r="H70" s="715">
        <f>VLOOKUP(B70,COSTING!$B$8:$N$913,7,)</f>
        <v>0.39194355387802371</v>
      </c>
      <c r="I70" s="715">
        <f>VLOOKUP(B70,COSTING!$B$8:$N$913,8,)</f>
        <v>0.39194355387802371</v>
      </c>
      <c r="J70" s="714">
        <f>VLOOKUP(B70,COSTING!$B$8:$N$913,9,)</f>
        <v>0</v>
      </c>
      <c r="K70" s="714">
        <f>VLOOKUP(B70,COSTING!$B$8:$N$913,10,)</f>
        <v>0</v>
      </c>
      <c r="L70" s="715" t="e">
        <f>VLOOKUP(B70,COSTING!$B$8:$N$913,11,)</f>
        <v>#DIV/0!</v>
      </c>
      <c r="M70" s="540"/>
      <c r="N70" s="540"/>
    </row>
    <row r="71" spans="2:14">
      <c r="B71" s="713" t="s">
        <v>1792</v>
      </c>
      <c r="C71" s="713" t="str">
        <f>VLOOKUP(B71,COSTING!$B$8:$N$913,2,)</f>
        <v>K-Nugget (Gangjeong) - 6pcs</v>
      </c>
      <c r="D71" s="713">
        <f>VLOOKUP(B71,COSTING!$B$8:$N$913,3,)</f>
        <v>39600</v>
      </c>
      <c r="E71" s="714">
        <v>36000</v>
      </c>
      <c r="F71" s="714">
        <f>VLOOKUP(B71,COSTING!$B$8:$N$913,5,)</f>
        <v>14305.551918802385</v>
      </c>
      <c r="G71" s="714">
        <f>VLOOKUP(B71,COSTING!$B$8:$N$913,6,)</f>
        <v>14305.551918802385</v>
      </c>
      <c r="H71" s="715">
        <f>VLOOKUP(B71,COSTING!$B$8:$N$913,7,)</f>
        <v>0.39737644218895513</v>
      </c>
      <c r="I71" s="715">
        <f>VLOOKUP(B71,COSTING!$B$8:$N$913,8,)</f>
        <v>0.39737644218895513</v>
      </c>
      <c r="J71" s="714">
        <f>VLOOKUP(B71,COSTING!$B$8:$N$913,9,)</f>
        <v>0</v>
      </c>
      <c r="K71" s="714">
        <f>VLOOKUP(B71,COSTING!$B$8:$N$913,10,)</f>
        <v>0</v>
      </c>
      <c r="L71" s="715" t="e">
        <f>VLOOKUP(B71,COSTING!$B$8:$N$913,11,)</f>
        <v>#DIV/0!</v>
      </c>
      <c r="M71" s="540"/>
      <c r="N71" s="540"/>
    </row>
    <row r="72" spans="2:14">
      <c r="B72" s="713" t="s">
        <v>1794</v>
      </c>
      <c r="C72" s="713" t="str">
        <f>VLOOKUP(B72,COSTING!$B$8:$N$913,2,)</f>
        <v>K-Nugget (Mala Hot) - 4pcs</v>
      </c>
      <c r="D72" s="713">
        <f>VLOOKUP(B72,COSTING!$B$8:$N$913,3,)</f>
        <v>39600</v>
      </c>
      <c r="E72" s="714">
        <v>36000</v>
      </c>
      <c r="F72" s="714">
        <f>VLOOKUP(B72,COSTING!$B$8:$N$913,5,)</f>
        <v>14399.497231302385</v>
      </c>
      <c r="G72" s="714">
        <f>VLOOKUP(B72,COSTING!$B$8:$N$913,6,)</f>
        <v>14399.497231302385</v>
      </c>
      <c r="H72" s="715">
        <f>VLOOKUP(B72,COSTING!$B$8:$N$913,7,)</f>
        <v>0.39998603420284401</v>
      </c>
      <c r="I72" s="715">
        <f>VLOOKUP(B72,COSTING!$B$8:$N$913,8,)</f>
        <v>0.39998603420284401</v>
      </c>
      <c r="J72" s="714">
        <f>VLOOKUP(B72,COSTING!$B$8:$N$913,9,)</f>
        <v>0</v>
      </c>
      <c r="K72" s="714">
        <f>VLOOKUP(B72,COSTING!$B$8:$N$913,10,)</f>
        <v>0</v>
      </c>
      <c r="L72" s="715" t="e">
        <f>VLOOKUP(B72,COSTING!$B$8:$N$913,11,)</f>
        <v>#DIV/0!</v>
      </c>
      <c r="M72" s="540"/>
      <c r="N72" s="540"/>
    </row>
    <row r="73" spans="2:14">
      <c r="B73" s="713" t="s">
        <v>749</v>
      </c>
      <c r="C73" s="713" t="str">
        <f>VLOOKUP(B73,COSTING!$B$8:$N$913,2,)</f>
        <v>French Fries - Original</v>
      </c>
      <c r="D73" s="713">
        <f>VLOOKUP(B73,COSTING!$B$8:$N$913,3,)</f>
        <v>19800</v>
      </c>
      <c r="E73" s="714">
        <v>18000</v>
      </c>
      <c r="F73" s="714">
        <f>VLOOKUP(B73,COSTING!$B$8:$N$913,5,)</f>
        <v>7734.5271515151517</v>
      </c>
      <c r="G73" s="714">
        <f>VLOOKUP(B73,COSTING!$B$8:$N$913,6,)</f>
        <v>7936.5271515151517</v>
      </c>
      <c r="H73" s="715">
        <f>VLOOKUP(B73,COSTING!$B$8:$N$913,7,)</f>
        <v>0.42969595286195289</v>
      </c>
      <c r="I73" s="715">
        <f>VLOOKUP(B73,COSTING!$B$8:$N$913,8,)</f>
        <v>0.44091817508417508</v>
      </c>
      <c r="J73" s="714">
        <f>VLOOKUP(B73,COSTING!$B$8:$N$913,9,)</f>
        <v>21</v>
      </c>
      <c r="K73" s="714">
        <f>VLOOKUP(B73,COSTING!$B$8:$N$913,10,)</f>
        <v>4</v>
      </c>
      <c r="L73" s="715">
        <f>VLOOKUP(B73,COSTING!$B$8:$N$913,11,)</f>
        <v>0.43149150841750844</v>
      </c>
      <c r="M73" s="540"/>
      <c r="N73" s="540"/>
    </row>
    <row r="74" spans="2:14">
      <c r="B74" s="713" t="s">
        <v>750</v>
      </c>
      <c r="C74" s="713" t="str">
        <f>VLOOKUP(B74,COSTING!$B$8:$N$913,2,)</f>
        <v>French Fries - Chessling</v>
      </c>
      <c r="D74" s="713">
        <f>VLOOKUP(B74,COSTING!$B$8:$N$913,3,)</f>
        <v>19800</v>
      </c>
      <c r="E74" s="714">
        <v>18000</v>
      </c>
      <c r="F74" s="714">
        <f>VLOOKUP(B74,COSTING!$B$8:$N$913,5,)</f>
        <v>9206.9761311069888</v>
      </c>
      <c r="G74" s="714">
        <f>VLOOKUP(B74,COSTING!$B$8:$N$913,6,)</f>
        <v>9408.9761311069888</v>
      </c>
      <c r="H74" s="715">
        <f>VLOOKUP(B74,COSTING!$B$8:$N$913,7,)</f>
        <v>0.51149867395038828</v>
      </c>
      <c r="I74" s="715">
        <f>VLOOKUP(B74,COSTING!$B$8:$N$913,8,)</f>
        <v>0.52272089617261053</v>
      </c>
      <c r="J74" s="714">
        <f>VLOOKUP(B74,COSTING!$B$8:$N$913,9,)</f>
        <v>40</v>
      </c>
      <c r="K74" s="714">
        <f>VLOOKUP(B74,COSTING!$B$8:$N$913,10,)</f>
        <v>12</v>
      </c>
      <c r="L74" s="715">
        <f>VLOOKUP(B74,COSTING!$B$8:$N$913,11,)</f>
        <v>0.5140884175401319</v>
      </c>
      <c r="M74" s="540"/>
      <c r="N74" s="540"/>
    </row>
    <row r="75" spans="2:14">
      <c r="B75" s="713" t="s">
        <v>1801</v>
      </c>
      <c r="C75" s="713" t="str">
        <f>VLOOKUP(B75,COSTING!$B$8:$N$913,2,)</f>
        <v>French Fries - Hot Spicy</v>
      </c>
      <c r="D75" s="713">
        <f>VLOOKUP(B75,COSTING!$B$8:$N$913,3,)</f>
        <v>19800</v>
      </c>
      <c r="E75" s="714">
        <v>18000</v>
      </c>
      <c r="F75" s="714">
        <f>VLOOKUP(B75,COSTING!$B$8:$N$913,5,)</f>
        <v>8413.8240265151508</v>
      </c>
      <c r="G75" s="714">
        <f>VLOOKUP(B75,COSTING!$B$8:$N$913,6,)</f>
        <v>8615.8240265151508</v>
      </c>
      <c r="H75" s="715">
        <f>VLOOKUP(B75,COSTING!$B$8:$N$913,7,)</f>
        <v>0.46743466813973061</v>
      </c>
      <c r="I75" s="715">
        <f>VLOOKUP(B75,COSTING!$B$8:$N$913,8,)</f>
        <v>0.4786568903619528</v>
      </c>
      <c r="J75" s="714">
        <f>VLOOKUP(B75,COSTING!$B$8:$N$913,9,)</f>
        <v>7</v>
      </c>
      <c r="K75" s="714">
        <f>VLOOKUP(B75,COSTING!$B$8:$N$913,10,)</f>
        <v>0</v>
      </c>
      <c r="L75" s="715">
        <f>VLOOKUP(B75,COSTING!$B$8:$N$913,11,)</f>
        <v>0.46743466813973056</v>
      </c>
      <c r="M75" s="540"/>
      <c r="N75" s="540"/>
    </row>
    <row r="76" spans="2:14">
      <c r="B76" s="713" t="s">
        <v>1867</v>
      </c>
      <c r="C76" s="713" t="str">
        <f>VLOOKUP(B76,COSTING!$B$8:$N$2011,2,)</f>
        <v>Rice</v>
      </c>
      <c r="D76" s="713">
        <f>VLOOKUP(B76,COSTING!$B$8:$N$2011,3,)</f>
        <v>11000</v>
      </c>
      <c r="E76" s="714">
        <v>10000</v>
      </c>
      <c r="F76" s="714">
        <f>VLOOKUP(B76,COSTING!$B$8:$N$2011,5,)</f>
        <v>941.45</v>
      </c>
      <c r="G76" s="714">
        <f>VLOOKUP(B76,COSTING!$B$8:$N$2011,6,)</f>
        <v>941.45</v>
      </c>
      <c r="H76" s="715">
        <f>VLOOKUP(B76,COSTING!$B$8:$N$2011,7,)</f>
        <v>9.4145000000000006E-2</v>
      </c>
      <c r="I76" s="715">
        <f>VLOOKUP(B76,COSTING!$B$8:$N$2011,8,)</f>
        <v>9.4145000000000006E-2</v>
      </c>
      <c r="J76" s="714">
        <f>VLOOKUP(B76,COSTING!$B$8:$N$2011,9,)</f>
        <v>398</v>
      </c>
      <c r="K76" s="714">
        <f>VLOOKUP(B76,COSTING!$B$8:$N$2011,10,)</f>
        <v>92</v>
      </c>
      <c r="L76" s="715">
        <f>VLOOKUP(B76,COSTING!$B$8:$N$2011,11,)</f>
        <v>9.4145000000000006E-2</v>
      </c>
      <c r="M76" s="540"/>
      <c r="N76" s="540"/>
    </row>
    <row r="77" spans="2:14">
      <c r="B77" s="713" t="s">
        <v>1871</v>
      </c>
      <c r="C77" s="713" t="str">
        <f>VLOOKUP(B77,COSTING!$B$8:$N$2011,2,)</f>
        <v>Japcahe</v>
      </c>
      <c r="D77" s="713">
        <f>VLOOKUP(B77,COSTING!$B$8:$N$2011,3,)</f>
        <v>33000</v>
      </c>
      <c r="E77" s="714">
        <v>30000</v>
      </c>
      <c r="F77" s="714">
        <f>VLOOKUP(B77,COSTING!$B$8:$N$2011,5,)</f>
        <v>8925.8368106287671</v>
      </c>
      <c r="G77" s="714">
        <f>VLOOKUP(B77,COSTING!$B$8:$N$2011,6,)</f>
        <v>8925.8368106287671</v>
      </c>
      <c r="H77" s="715">
        <f>VLOOKUP(B77,COSTING!$B$8:$N$2011,7,)</f>
        <v>0.29752789368762556</v>
      </c>
      <c r="I77" s="715">
        <f>VLOOKUP(B77,COSTING!$B$8:$N$2011,8,)</f>
        <v>0.29752789368762556</v>
      </c>
      <c r="J77" s="714">
        <f>VLOOKUP(B77,COSTING!$B$8:$N$2011,9,)</f>
        <v>42</v>
      </c>
      <c r="K77" s="714">
        <f>VLOOKUP(B77,COSTING!$B$8:$N$2011,10,)</f>
        <v>10</v>
      </c>
      <c r="L77" s="715">
        <f>VLOOKUP(B77,COSTING!$B$8:$N$2011,11,)</f>
        <v>0.29752789368762556</v>
      </c>
      <c r="M77" s="540"/>
      <c r="N77" s="540"/>
    </row>
    <row r="78" spans="2:14">
      <c r="B78" s="814" t="s">
        <v>1980</v>
      </c>
      <c r="C78" s="814" t="str">
        <f>VLOOKUP(B78,COSTING!$B$8:$N$2011,2,)</f>
        <v xml:space="preserve">COKE </v>
      </c>
      <c r="D78" s="814">
        <f>VLOOKUP(B78,COSTING!$B$8:$N$2011,3,)</f>
        <v>17600</v>
      </c>
      <c r="E78" s="815">
        <v>16000</v>
      </c>
      <c r="F78" s="815">
        <f>VLOOKUP(B78,COSTING!$B$8:$N$2011,5,)</f>
        <v>4497.4747474747473</v>
      </c>
      <c r="G78" s="815">
        <f>VLOOKUP(B78,COSTING!$B$8:$N$2011,6,)</f>
        <v>4697.4747474747473</v>
      </c>
      <c r="H78" s="816">
        <f>VLOOKUP(B78,COSTING!$B$8:$N$2011,7,)</f>
        <v>0.28109217171717171</v>
      </c>
      <c r="I78" s="816">
        <f>VLOOKUP(B78,COSTING!$B$8:$N$2011,8,)</f>
        <v>0.29359217171717172</v>
      </c>
      <c r="J78" s="815" t="e">
        <f>VLOOKUP(B78,COSTING!$B$8:$N$2011,9,)</f>
        <v>#N/A</v>
      </c>
      <c r="K78" s="815" t="e">
        <f>VLOOKUP(B78,COSTING!$B$8:$N$2011,10,)</f>
        <v>#N/A</v>
      </c>
      <c r="L78" s="816" t="e">
        <f>VLOOKUP(B78,COSTING!$B$8:$N$2011,11,)</f>
        <v>#N/A</v>
      </c>
      <c r="M78" s="817"/>
      <c r="N78" s="817"/>
    </row>
    <row r="79" spans="2:14">
      <c r="B79" s="814" t="s">
        <v>1981</v>
      </c>
      <c r="C79" s="814" t="str">
        <f>VLOOKUP(B79,COSTING!$B$8:$N$2011,2,)</f>
        <v>SPRITE</v>
      </c>
      <c r="D79" s="814">
        <f>VLOOKUP(B79,COSTING!$B$8:$N$2011,3,)</f>
        <v>17600</v>
      </c>
      <c r="E79" s="815">
        <v>16000</v>
      </c>
      <c r="F79" s="815">
        <f>VLOOKUP(B79,COSTING!$B$8:$N$2011,5,)</f>
        <v>5628.787878787879</v>
      </c>
      <c r="G79" s="815">
        <f>VLOOKUP(B79,COSTING!$B$8:$N$2011,6,)</f>
        <v>5828.787878787879</v>
      </c>
      <c r="H79" s="816">
        <f>VLOOKUP(B79,COSTING!$B$8:$N$2011,7,)</f>
        <v>0.35179924242424243</v>
      </c>
      <c r="I79" s="816">
        <f>VLOOKUP(B79,COSTING!$B$8:$N$2011,8,)</f>
        <v>0.36429924242424244</v>
      </c>
      <c r="J79" s="815" t="e">
        <f>VLOOKUP(B79,COSTING!$B$8:$N$2011,9,)</f>
        <v>#N/A</v>
      </c>
      <c r="K79" s="815" t="e">
        <f>VLOOKUP(B79,COSTING!$B$8:$N$2011,10,)</f>
        <v>#N/A</v>
      </c>
      <c r="L79" s="816" t="e">
        <f>VLOOKUP(B79,COSTING!$B$8:$N$2011,11,)</f>
        <v>#N/A</v>
      </c>
      <c r="M79" s="817"/>
      <c r="N79" s="817"/>
    </row>
    <row r="80" spans="2:14">
      <c r="B80" s="814" t="s">
        <v>1982</v>
      </c>
      <c r="C80" s="814" t="str">
        <f>VLOOKUP(B80,COSTING!$B$8:$N$2011,2,)</f>
        <v>FANTA</v>
      </c>
      <c r="D80" s="814">
        <f>VLOOKUP(B80,COSTING!$B$8:$N$2011,3,)</f>
        <v>17600</v>
      </c>
      <c r="E80" s="815">
        <v>16000</v>
      </c>
      <c r="F80" s="815">
        <f>VLOOKUP(B80,COSTING!$B$8:$N$2011,5,)</f>
        <v>5345.9595959595963</v>
      </c>
      <c r="G80" s="815">
        <f>VLOOKUP(B80,COSTING!$B$8:$N$2011,6,)</f>
        <v>5545.9595959595963</v>
      </c>
      <c r="H80" s="816">
        <f>VLOOKUP(B80,COSTING!$B$8:$N$2011,7,)</f>
        <v>0.33412247474747475</v>
      </c>
      <c r="I80" s="816">
        <f>VLOOKUP(B80,COSTING!$B$8:$N$2011,8,)</f>
        <v>0.34662247474747476</v>
      </c>
      <c r="J80" s="815" t="e">
        <f>VLOOKUP(B80,COSTING!$B$8:$N$2011,9,)</f>
        <v>#N/A</v>
      </c>
      <c r="K80" s="815" t="e">
        <f>VLOOKUP(B80,COSTING!$B$8:$N$2011,10,)</f>
        <v>#N/A</v>
      </c>
      <c r="L80" s="816" t="e">
        <f>VLOOKUP(B80,COSTING!$B$8:$N$2011,11,)</f>
        <v>#N/A</v>
      </c>
      <c r="M80" s="817"/>
      <c r="N80" s="817"/>
    </row>
    <row r="81" spans="2:14">
      <c r="B81" s="814" t="s">
        <v>1946</v>
      </c>
      <c r="C81" s="814" t="str">
        <f>VLOOKUP(B81,COSTING!$B$8:$N$2011,2,)</f>
        <v>ICE TEA (PLAIN)</v>
      </c>
      <c r="D81" s="814">
        <f>VLOOKUP(B81,COSTING!$B$8:$N$2011,3,)</f>
        <v>17600</v>
      </c>
      <c r="E81" s="815">
        <v>16000</v>
      </c>
      <c r="F81" s="815">
        <f>VLOOKUP(B81,COSTING!$B$8:$N$2011,5,)</f>
        <v>3103.1826086956521</v>
      </c>
      <c r="G81" s="815">
        <f>VLOOKUP(B81,COSTING!$B$8:$N$2011,6,)</f>
        <v>3311.1826086956521</v>
      </c>
      <c r="H81" s="816">
        <f>VLOOKUP(B81,COSTING!$B$8:$N$2011,7,)</f>
        <v>0.19394891304347825</v>
      </c>
      <c r="I81" s="816">
        <f>VLOOKUP(B81,COSTING!$B$8:$N$2011,8,)</f>
        <v>0.20694891304347826</v>
      </c>
      <c r="J81" s="815" t="e">
        <f>VLOOKUP(B81,COSTING!$B$8:$N$2011,9,)</f>
        <v>#N/A</v>
      </c>
      <c r="K81" s="815" t="e">
        <f>VLOOKUP(B81,COSTING!$B$8:$N$2011,10,)</f>
        <v>#N/A</v>
      </c>
      <c r="L81" s="816" t="e">
        <f>VLOOKUP(B81,COSTING!$B$8:$N$2011,11,)</f>
        <v>#N/A</v>
      </c>
      <c r="M81" s="817"/>
      <c r="N81" s="817"/>
    </row>
    <row r="82" spans="2:14">
      <c r="B82" s="814" t="s">
        <v>1948</v>
      </c>
      <c r="C82" s="814" t="str">
        <f>VLOOKUP(B82,COSTING!$B$8:$N$2011,2,)</f>
        <v>ICE TEA (Lychee)</v>
      </c>
      <c r="D82" s="814">
        <f>VLOOKUP(B82,COSTING!$B$8:$N$2011,3,)</f>
        <v>17600</v>
      </c>
      <c r="E82" s="815">
        <v>16000</v>
      </c>
      <c r="F82" s="815">
        <f>VLOOKUP(B82,COSTING!$B$8:$N$2011,5,)</f>
        <v>5196.1119016249449</v>
      </c>
      <c r="G82" s="815">
        <f>VLOOKUP(B82,COSTING!$B$8:$N$2011,6,)</f>
        <v>5404.1119016249449</v>
      </c>
      <c r="H82" s="816">
        <f>VLOOKUP(B82,COSTING!$B$8:$N$2011,7,)</f>
        <v>0.32475699385155904</v>
      </c>
      <c r="I82" s="816">
        <f>VLOOKUP(B82,COSTING!$B$8:$N$2011,8,)</f>
        <v>0.33775699385155905</v>
      </c>
      <c r="J82" s="815" t="e">
        <f>VLOOKUP(B82,COSTING!$B$8:$N$2011,9,)</f>
        <v>#N/A</v>
      </c>
      <c r="K82" s="815" t="e">
        <f>VLOOKUP(B82,COSTING!$B$8:$N$2011,10,)</f>
        <v>#N/A</v>
      </c>
      <c r="L82" s="816" t="e">
        <f>VLOOKUP(B82,COSTING!$B$8:$N$2011,11,)</f>
        <v>#N/A</v>
      </c>
      <c r="M82" s="817"/>
      <c r="N82" s="817"/>
    </row>
    <row r="83" spans="2:14">
      <c r="B83" s="814" t="s">
        <v>1950</v>
      </c>
      <c r="C83" s="814" t="str">
        <f>VLOOKUP(B83,COSTING!$B$8:$N$2011,2,)</f>
        <v>ICE TEA (Mango)</v>
      </c>
      <c r="D83" s="814">
        <f>VLOOKUP(B83,COSTING!$B$8:$N$2011,3,)</f>
        <v>17600</v>
      </c>
      <c r="E83" s="815">
        <v>16000</v>
      </c>
      <c r="F83" s="815">
        <f>VLOOKUP(B83,COSTING!$B$8:$N$2011,5,)</f>
        <v>5196.1119016249449</v>
      </c>
      <c r="G83" s="815">
        <f>VLOOKUP(B83,COSTING!$B$8:$N$2011,6,)</f>
        <v>5404.1119016249449</v>
      </c>
      <c r="H83" s="816">
        <f>VLOOKUP(B83,COSTING!$B$8:$N$2011,7,)</f>
        <v>0.32475699385155904</v>
      </c>
      <c r="I83" s="816">
        <f>VLOOKUP(B83,COSTING!$B$8:$N$2011,8,)</f>
        <v>0.33775699385155905</v>
      </c>
      <c r="J83" s="815" t="e">
        <f>VLOOKUP(B83,COSTING!$B$8:$N$2011,9,)</f>
        <v>#N/A</v>
      </c>
      <c r="K83" s="815" t="e">
        <f>VLOOKUP(B83,COSTING!$B$8:$N$2011,10,)</f>
        <v>#N/A</v>
      </c>
      <c r="L83" s="816" t="e">
        <f>VLOOKUP(B83,COSTING!$B$8:$N$2011,11,)</f>
        <v>#N/A</v>
      </c>
      <c r="M83" s="817"/>
      <c r="N83" s="817"/>
    </row>
    <row r="84" spans="2:14">
      <c r="B84" s="814" t="s">
        <v>1952</v>
      </c>
      <c r="C84" s="814" t="str">
        <f>VLOOKUP(B84,COSTING!$B$8:$N$2011,2,)</f>
        <v>ICE TEA (Peach)</v>
      </c>
      <c r="D84" s="814">
        <f>VLOOKUP(B84,COSTING!$B$8:$N$2011,3,)</f>
        <v>17600</v>
      </c>
      <c r="E84" s="815">
        <v>16000</v>
      </c>
      <c r="F84" s="815">
        <f>VLOOKUP(B84,COSTING!$B$8:$N$2011,5,)</f>
        <v>5196.1119016249449</v>
      </c>
      <c r="G84" s="815">
        <f>VLOOKUP(B84,COSTING!$B$8:$N$2011,6,)</f>
        <v>5404.1119016249449</v>
      </c>
      <c r="H84" s="816">
        <f>VLOOKUP(B84,COSTING!$B$8:$N$2011,7,)</f>
        <v>0.32475699385155904</v>
      </c>
      <c r="I84" s="816">
        <f>VLOOKUP(B84,COSTING!$B$8:$N$2011,8,)</f>
        <v>0.33775699385155905</v>
      </c>
      <c r="J84" s="815" t="e">
        <f>VLOOKUP(B84,COSTING!$B$8:$N$2011,9,)</f>
        <v>#N/A</v>
      </c>
      <c r="K84" s="815" t="e">
        <f>VLOOKUP(B84,COSTING!$B$8:$N$2011,10,)</f>
        <v>#N/A</v>
      </c>
      <c r="L84" s="816" t="e">
        <f>VLOOKUP(B84,COSTING!$B$8:$N$2011,11,)</f>
        <v>#N/A</v>
      </c>
      <c r="M84" s="817"/>
      <c r="N84" s="817"/>
    </row>
    <row r="85" spans="2:14">
      <c r="B85" s="814" t="s">
        <v>1954</v>
      </c>
      <c r="C85" s="814" t="str">
        <f>VLOOKUP(B85,COSTING!$B$8:$N$2011,2,)</f>
        <v>FIZZ (Peach)</v>
      </c>
      <c r="D85" s="814">
        <f>VLOOKUP(B85,COSTING!$B$8:$N$2011,3,)</f>
        <v>17600</v>
      </c>
      <c r="E85" s="815">
        <v>16000</v>
      </c>
      <c r="F85" s="815">
        <f>VLOOKUP(B85,COSTING!$B$8:$N$2011,5,)</f>
        <v>4883.393939393939</v>
      </c>
      <c r="G85" s="815">
        <f>VLOOKUP(B85,COSTING!$B$8:$N$2011,6,)</f>
        <v>5091.393939393939</v>
      </c>
      <c r="H85" s="816">
        <f>VLOOKUP(B85,COSTING!$B$8:$N$2011,7,)</f>
        <v>0.30521212121212121</v>
      </c>
      <c r="I85" s="816">
        <f>VLOOKUP(B85,COSTING!$B$8:$N$2011,8,)</f>
        <v>0.31821212121212117</v>
      </c>
      <c r="J85" s="815" t="e">
        <f>VLOOKUP(B85,COSTING!$B$8:$N$2011,9,)</f>
        <v>#N/A</v>
      </c>
      <c r="K85" s="815" t="e">
        <f>VLOOKUP(B85,COSTING!$B$8:$N$2011,10,)</f>
        <v>#N/A</v>
      </c>
      <c r="L85" s="816" t="str">
        <f>VLOOKUP(B85,COSTING!$B$8:$N$2011,11,)</f>
        <v/>
      </c>
      <c r="M85" s="817"/>
      <c r="N85" s="817"/>
    </row>
    <row r="86" spans="2:14">
      <c r="B86" s="814" t="s">
        <v>1956</v>
      </c>
      <c r="C86" s="814" t="str">
        <f>VLOOKUP(B86,COSTING!$B$8:$N$2011,2,)</f>
        <v>FIZZ (Mango)</v>
      </c>
      <c r="D86" s="814">
        <f>VLOOKUP(B86,COSTING!$B$8:$N$2011,3,)</f>
        <v>17600</v>
      </c>
      <c r="E86" s="815">
        <v>16000</v>
      </c>
      <c r="F86" s="815">
        <f>VLOOKUP(B86,COSTING!$B$8:$N$2011,5,)</f>
        <v>4883.393939393939</v>
      </c>
      <c r="G86" s="815">
        <f>VLOOKUP(B86,COSTING!$B$8:$N$2011,6,)</f>
        <v>5091.393939393939</v>
      </c>
      <c r="H86" s="816">
        <f>VLOOKUP(B86,COSTING!$B$8:$N$2011,7,)</f>
        <v>0.30521212121212121</v>
      </c>
      <c r="I86" s="816">
        <f>VLOOKUP(B86,COSTING!$B$8:$N$2011,8,)</f>
        <v>0.31821212121212117</v>
      </c>
      <c r="J86" s="815" t="e">
        <f>VLOOKUP(B86,COSTING!$B$8:$N$2011,9,)</f>
        <v>#N/A</v>
      </c>
      <c r="K86" s="815" t="e">
        <f>VLOOKUP(B86,COSTING!$B$8:$N$2011,10,)</f>
        <v>#N/A</v>
      </c>
      <c r="L86" s="816" t="str">
        <f>VLOOKUP(B86,COSTING!$B$8:$N$2011,11,)</f>
        <v/>
      </c>
      <c r="M86" s="817"/>
      <c r="N86" s="817"/>
    </row>
    <row r="87" spans="2:14">
      <c r="B87" s="814" t="s">
        <v>1958</v>
      </c>
      <c r="C87" s="814" t="str">
        <f>VLOOKUP(B87,COSTING!$B$8:$N$2011,2,)</f>
        <v>FIZZ (Peach)</v>
      </c>
      <c r="D87" s="814">
        <f>VLOOKUP(B87,COSTING!$B$8:$N$2011,3,)</f>
        <v>17600</v>
      </c>
      <c r="E87" s="815">
        <v>16000</v>
      </c>
      <c r="F87" s="815">
        <f>VLOOKUP(B87,COSTING!$B$8:$N$2011,5,)</f>
        <v>4883.393939393939</v>
      </c>
      <c r="G87" s="815">
        <f>VLOOKUP(B87,COSTING!$B$8:$N$2011,6,)</f>
        <v>5091.393939393939</v>
      </c>
      <c r="H87" s="816">
        <f>VLOOKUP(B87,COSTING!$B$8:$N$2011,7,)</f>
        <v>0.30521212121212121</v>
      </c>
      <c r="I87" s="816">
        <f>VLOOKUP(B87,COSTING!$B$8:$N$2011,8,)</f>
        <v>0.31821212121212117</v>
      </c>
      <c r="J87" s="815" t="e">
        <f>VLOOKUP(B87,COSTING!$B$8:$N$2011,9,)</f>
        <v>#N/A</v>
      </c>
      <c r="K87" s="815" t="e">
        <f>VLOOKUP(B87,COSTING!$B$8:$N$2011,10,)</f>
        <v>#N/A</v>
      </c>
      <c r="L87" s="816" t="str">
        <f>VLOOKUP(B87,COSTING!$B$8:$N$2011,11,)</f>
        <v/>
      </c>
      <c r="M87" s="817"/>
      <c r="N87" s="817"/>
    </row>
    <row r="88" spans="2:14">
      <c r="B88" s="814" t="s">
        <v>1960</v>
      </c>
      <c r="C88" s="814" t="str">
        <f>VLOOKUP(B88,COSTING!$B$8:$N$2011,2,)</f>
        <v>FIZZ (Grape)</v>
      </c>
      <c r="D88" s="814">
        <f>VLOOKUP(B88,COSTING!$B$8:$N$2011,3,)</f>
        <v>17600</v>
      </c>
      <c r="E88" s="815">
        <v>16000</v>
      </c>
      <c r="F88" s="815">
        <f>VLOOKUP(B88,COSTING!$B$8:$N$2011,5,)</f>
        <v>6501.2727272727279</v>
      </c>
      <c r="G88" s="815">
        <f>VLOOKUP(B88,COSTING!$B$8:$N$2011,6,)</f>
        <v>6709.2727272727279</v>
      </c>
      <c r="H88" s="816">
        <f>VLOOKUP(B88,COSTING!$B$8:$N$2011,7,)</f>
        <v>0.40632954545454547</v>
      </c>
      <c r="I88" s="816">
        <f>VLOOKUP(B88,COSTING!$B$8:$N$2011,8,)</f>
        <v>0.41932954545454548</v>
      </c>
      <c r="J88" s="815" t="e">
        <f>VLOOKUP(B88,COSTING!$B$8:$N$2011,9,)</f>
        <v>#N/A</v>
      </c>
      <c r="K88" s="815" t="e">
        <f>VLOOKUP(B88,COSTING!$B$8:$N$2011,10,)</f>
        <v>#N/A</v>
      </c>
      <c r="L88" s="816" t="e">
        <f>VLOOKUP(B88,COSTING!$B$8:$N$2011,11,)</f>
        <v>#N/A</v>
      </c>
      <c r="M88" s="817"/>
      <c r="N88" s="817"/>
    </row>
    <row r="89" spans="2:14">
      <c r="B89" s="814" t="s">
        <v>1962</v>
      </c>
      <c r="C89" s="814" t="str">
        <f>VLOOKUP(B89,COSTING!$B$8:$N$2011,2,)</f>
        <v>FIZZ (Rose)</v>
      </c>
      <c r="D89" s="814">
        <f>VLOOKUP(B89,COSTING!$B$8:$N$2011,3,)</f>
        <v>17600</v>
      </c>
      <c r="E89" s="815">
        <v>16000</v>
      </c>
      <c r="F89" s="815">
        <f>VLOOKUP(B89,COSTING!$B$8:$N$2011,5,)</f>
        <v>6501.2727272727279</v>
      </c>
      <c r="G89" s="815">
        <f>VLOOKUP(B89,COSTING!$B$8:$N$2011,6,)</f>
        <v>6709.2727272727279</v>
      </c>
      <c r="H89" s="816">
        <f>VLOOKUP(B89,COSTING!$B$8:$N$2011,7,)</f>
        <v>0.40632954545454547</v>
      </c>
      <c r="I89" s="816">
        <f>VLOOKUP(B89,COSTING!$B$8:$N$2011,8,)</f>
        <v>0.41932954545454548</v>
      </c>
      <c r="J89" s="815" t="e">
        <f>VLOOKUP(B89,COSTING!$B$8:$N$2011,9,)</f>
        <v>#N/A</v>
      </c>
      <c r="K89" s="815" t="e">
        <f>VLOOKUP(B89,COSTING!$B$8:$N$2011,10,)</f>
        <v>#N/A</v>
      </c>
      <c r="L89" s="816" t="e">
        <f>VLOOKUP(B89,COSTING!$B$8:$N$2011,11,)</f>
        <v>#N/A</v>
      </c>
      <c r="M89" s="817"/>
      <c r="N89" s="817"/>
    </row>
    <row r="90" spans="2:14">
      <c r="B90" s="814" t="s">
        <v>1964</v>
      </c>
      <c r="C90" s="814" t="str">
        <f>VLOOKUP(B90,COSTING!$B$8:$N$2011,2,)</f>
        <v>Korean Drink</v>
      </c>
      <c r="D90" s="814">
        <f>VLOOKUP(B90,COSTING!$B$8:$N$2011,3,)</f>
        <v>22000</v>
      </c>
      <c r="E90" s="815">
        <v>20000</v>
      </c>
      <c r="F90" s="815">
        <f>VLOOKUP(B90,COSTING!$B$8:$N$2011,5,)</f>
        <v>7611.1923076923067</v>
      </c>
      <c r="G90" s="815">
        <f>VLOOKUP(B90,COSTING!$B$8:$N$2011,6,)</f>
        <v>7819.1923076923067</v>
      </c>
      <c r="H90" s="816">
        <f>VLOOKUP(B90,COSTING!$B$8:$N$2011,7,)</f>
        <v>0.38055961538461536</v>
      </c>
      <c r="I90" s="816">
        <f>VLOOKUP(B90,COSTING!$B$8:$N$2011,8,)</f>
        <v>0.39095961538461532</v>
      </c>
      <c r="J90" s="815" t="e">
        <f>VLOOKUP(B90,COSTING!$B$8:$N$2011,9,)</f>
        <v>#N/A</v>
      </c>
      <c r="K90" s="815" t="e">
        <f>VLOOKUP(B90,COSTING!$B$8:$N$2011,10,)</f>
        <v>#N/A</v>
      </c>
      <c r="L90" s="816" t="e">
        <f>VLOOKUP(B90,COSTING!$B$8:$N$2011,11,)</f>
        <v>#N/A</v>
      </c>
      <c r="M90" s="817"/>
      <c r="N90" s="817"/>
    </row>
    <row r="91" spans="2:14">
      <c r="B91" s="814" t="s">
        <v>1966</v>
      </c>
      <c r="C91" s="814" t="str">
        <f>VLOOKUP(B91,COSTING!$B$8:$N$2011,2,)</f>
        <v>NESCAFE CLASSICE (HOT)</v>
      </c>
      <c r="D91" s="814">
        <f>VLOOKUP(B91,COSTING!$B$8:$N$2011,3,)</f>
        <v>16500</v>
      </c>
      <c r="E91" s="815">
        <v>15000</v>
      </c>
      <c r="F91" s="815">
        <f>VLOOKUP(B91,COSTING!$B$8:$N$2011,5,)</f>
        <v>2553</v>
      </c>
      <c r="G91" s="815">
        <f>VLOOKUP(B91,COSTING!$B$8:$N$2011,6,)</f>
        <v>2853</v>
      </c>
      <c r="H91" s="816">
        <f>VLOOKUP(B91,COSTING!$B$8:$N$2011,7,)</f>
        <v>0.17019999999999999</v>
      </c>
      <c r="I91" s="816">
        <f>VLOOKUP(B91,COSTING!$B$8:$N$2011,8,)</f>
        <v>0.19020000000000001</v>
      </c>
      <c r="J91" s="815" t="e">
        <f>VLOOKUP(B91,COSTING!$B$8:$N$2011,9,)</f>
        <v>#N/A</v>
      </c>
      <c r="K91" s="815" t="e">
        <f>VLOOKUP(B91,COSTING!$B$8:$N$2011,10,)</f>
        <v>#N/A</v>
      </c>
      <c r="L91" s="816" t="str">
        <f>VLOOKUP(B91,COSTING!$B$8:$N$2011,11,)</f>
        <v/>
      </c>
      <c r="M91" s="817"/>
      <c r="N91" s="817"/>
    </row>
    <row r="92" spans="2:14">
      <c r="B92" s="814" t="s">
        <v>1968</v>
      </c>
      <c r="C92" s="814" t="str">
        <f>VLOOKUP(B92,COSTING!$B$8:$N$2011,2,)</f>
        <v>NESCAFE CLASSICE (HOT)</v>
      </c>
      <c r="D92" s="814">
        <f>VLOOKUP(B92,COSTING!$B$8:$N$2011,3,)</f>
        <v>16500</v>
      </c>
      <c r="E92" s="815">
        <v>15000</v>
      </c>
      <c r="F92" s="815">
        <f>VLOOKUP(B92,COSTING!$B$8:$N$2011,5,)</f>
        <v>5046</v>
      </c>
      <c r="G92" s="815">
        <f>VLOOKUP(B92,COSTING!$B$8:$N$2011,6,)</f>
        <v>5346</v>
      </c>
      <c r="H92" s="816">
        <f>VLOOKUP(B92,COSTING!$B$8:$N$2011,7,)</f>
        <v>0.33639999999999998</v>
      </c>
      <c r="I92" s="816">
        <f>VLOOKUP(B92,COSTING!$B$8:$N$2011,8,)</f>
        <v>0.35639999999999999</v>
      </c>
      <c r="J92" s="815" t="e">
        <f>VLOOKUP(B92,COSTING!$B$8:$N$2011,9,)</f>
        <v>#N/A</v>
      </c>
      <c r="K92" s="815" t="e">
        <f>VLOOKUP(B92,COSTING!$B$8:$N$2011,10,)</f>
        <v>#N/A</v>
      </c>
      <c r="L92" s="816" t="str">
        <f>VLOOKUP(B92,COSTING!$B$8:$N$2011,11,)</f>
        <v/>
      </c>
      <c r="M92" s="817"/>
      <c r="N92" s="817"/>
    </row>
    <row r="93" spans="2:14">
      <c r="B93" s="814" t="s">
        <v>1970</v>
      </c>
      <c r="C93" s="814" t="str">
        <f>VLOOKUP(B93,COSTING!$B$8:$N$2011,2,)</f>
        <v>NESCAFE CLASSICE (ICE)</v>
      </c>
      <c r="D93" s="814">
        <f>VLOOKUP(B93,COSTING!$B$8:$N$2011,3,)</f>
        <v>16500</v>
      </c>
      <c r="E93" s="815">
        <v>15000</v>
      </c>
      <c r="F93" s="815">
        <f>VLOOKUP(B93,COSTING!$B$8:$N$2011,5,)</f>
        <v>3319</v>
      </c>
      <c r="G93" s="815">
        <f>VLOOKUP(B93,COSTING!$B$8:$N$2011,6,)</f>
        <v>3527</v>
      </c>
      <c r="H93" s="816">
        <f>VLOOKUP(B93,COSTING!$B$8:$N$2011,7,)</f>
        <v>0.22126666666666667</v>
      </c>
      <c r="I93" s="816">
        <f>VLOOKUP(B93,COSTING!$B$8:$N$2011,8,)</f>
        <v>0.23513333333333333</v>
      </c>
      <c r="J93" s="815" t="e">
        <f>VLOOKUP(B93,COSTING!$B$8:$N$2011,9,)</f>
        <v>#N/A</v>
      </c>
      <c r="K93" s="815" t="e">
        <f>VLOOKUP(B93,COSTING!$B$8:$N$2011,10,)</f>
        <v>#N/A</v>
      </c>
      <c r="L93" s="816" t="e">
        <f>VLOOKUP(B93,COSTING!$B$8:$N$2011,11,)</f>
        <v>#N/A</v>
      </c>
      <c r="M93" s="817"/>
      <c r="N93" s="817"/>
    </row>
    <row r="94" spans="2:14">
      <c r="B94" s="814" t="s">
        <v>1972</v>
      </c>
      <c r="C94" s="814" t="str">
        <f>VLOOKUP(B94,COSTING!$B$8:$N$2011,2,)</f>
        <v>NESCAFE CLASSICE (ICE)</v>
      </c>
      <c r="D94" s="814">
        <f>VLOOKUP(B94,COSTING!$B$8:$N$2011,3,)</f>
        <v>16500</v>
      </c>
      <c r="E94" s="815">
        <v>15000</v>
      </c>
      <c r="F94" s="815">
        <f>VLOOKUP(B94,COSTING!$B$8:$N$2011,5,)</f>
        <v>4915</v>
      </c>
      <c r="G94" s="815">
        <f>VLOOKUP(B94,COSTING!$B$8:$N$2011,6,)</f>
        <v>5123</v>
      </c>
      <c r="H94" s="816">
        <f>VLOOKUP(B94,COSTING!$B$8:$N$2011,7,)</f>
        <v>0.32766666666666666</v>
      </c>
      <c r="I94" s="816">
        <f>VLOOKUP(B94,COSTING!$B$8:$N$2011,8,)</f>
        <v>0.34153333333333336</v>
      </c>
      <c r="J94" s="815" t="e">
        <f>VLOOKUP(B94,COSTING!$B$8:$N$2011,9,)</f>
        <v>#N/A</v>
      </c>
      <c r="K94" s="815" t="e">
        <f>VLOOKUP(B94,COSTING!$B$8:$N$2011,10,)</f>
        <v>#N/A</v>
      </c>
      <c r="L94" s="816" t="e">
        <f>VLOOKUP(B94,COSTING!$B$8:$N$2011,11,)</f>
        <v>#N/A</v>
      </c>
      <c r="M94" s="817"/>
      <c r="N94" s="817"/>
    </row>
    <row r="95" spans="2:14">
      <c r="B95" s="814" t="s">
        <v>1974</v>
      </c>
      <c r="C95" s="814" t="str">
        <f>VLOOKUP(B95,COSTING!$B$8:$N$2011,2,)</f>
        <v>SUNDAE ICECREAM (Vanila)</v>
      </c>
      <c r="D95" s="814">
        <f>VLOOKUP(B95,COSTING!$B$8:$N$2011,3,)</f>
        <v>14300.000000000002</v>
      </c>
      <c r="E95" s="815">
        <v>13000</v>
      </c>
      <c r="F95" s="815">
        <f>VLOOKUP(B95,COSTING!$B$8:$N$2011,5,)</f>
        <v>4134.6464646464647</v>
      </c>
      <c r="G95" s="815">
        <f>VLOOKUP(B95,COSTING!$B$8:$N$2011,6,)</f>
        <v>4134.6464646464647</v>
      </c>
      <c r="H95" s="816">
        <f>VLOOKUP(B95,COSTING!$B$8:$N$2011,7,)</f>
        <v>0.31804972804972803</v>
      </c>
      <c r="I95" s="816">
        <f>VLOOKUP(B95,COSTING!$B$8:$N$2011,8,)</f>
        <v>0.31804972804972803</v>
      </c>
      <c r="J95" s="815" t="e">
        <f>VLOOKUP(B95,COSTING!$B$8:$N$2011,9,)</f>
        <v>#N/A</v>
      </c>
      <c r="K95" s="815" t="e">
        <f>VLOOKUP(B95,COSTING!$B$8:$N$2011,10,)</f>
        <v>#N/A</v>
      </c>
      <c r="L95" s="816" t="e">
        <f>VLOOKUP(B95,COSTING!$B$8:$N$2011,11,)</f>
        <v>#N/A</v>
      </c>
      <c r="M95" s="817"/>
      <c r="N95" s="817"/>
    </row>
    <row r="96" spans="2:14">
      <c r="B96" s="814" t="s">
        <v>1976</v>
      </c>
      <c r="C96" s="814" t="str">
        <f>VLOOKUP(B96,COSTING!$B$8:$N$2011,2,)</f>
        <v>SUNDAE ICECREAM (Vanila)</v>
      </c>
      <c r="D96" s="814">
        <f>VLOOKUP(B96,COSTING!$B$8:$N$2011,3,)</f>
        <v>14300.000000000002</v>
      </c>
      <c r="E96" s="815">
        <v>13000</v>
      </c>
      <c r="F96" s="815">
        <f>VLOOKUP(B96,COSTING!$B$8:$N$2011,5,)</f>
        <v>4439.58152958153</v>
      </c>
      <c r="G96" s="815">
        <f>VLOOKUP(B96,COSTING!$B$8:$N$2011,6,)</f>
        <v>4439.58152958153</v>
      </c>
      <c r="H96" s="816">
        <f>VLOOKUP(B96,COSTING!$B$8:$N$2011,7,)</f>
        <v>0.34150627150627155</v>
      </c>
      <c r="I96" s="816">
        <f>VLOOKUP(B96,COSTING!$B$8:$N$2011,8,)</f>
        <v>0.34150627150627155</v>
      </c>
      <c r="J96" s="815" t="e">
        <f>VLOOKUP(B96,COSTING!$B$8:$N$2011,9,)</f>
        <v>#N/A</v>
      </c>
      <c r="K96" s="815" t="e">
        <f>VLOOKUP(B96,COSTING!$B$8:$N$2011,10,)</f>
        <v>#N/A</v>
      </c>
      <c r="L96" s="816" t="e">
        <f>VLOOKUP(B96,COSTING!$B$8:$N$2011,11,)</f>
        <v>#N/A</v>
      </c>
      <c r="M96" s="817"/>
      <c r="N96" s="817"/>
    </row>
    <row r="97" spans="2:14">
      <c r="B97" s="814" t="s">
        <v>1978</v>
      </c>
      <c r="C97" s="814" t="str">
        <f>VLOOKUP(B97,COSTING!$B$8:$N$2011,2,)</f>
        <v xml:space="preserve">MINERAL WATER </v>
      </c>
      <c r="D97" s="814">
        <f>VLOOKUP(B97,COSTING!$B$8:$N$2011,3,)</f>
        <v>8800</v>
      </c>
      <c r="E97" s="815">
        <v>8000</v>
      </c>
      <c r="F97" s="815">
        <f>VLOOKUP(B97,COSTING!$B$8:$N$2011,5,)</f>
        <v>1958.33</v>
      </c>
      <c r="G97" s="815">
        <f>VLOOKUP(B97,COSTING!$B$8:$N$2011,6,)</f>
        <v>1958.33</v>
      </c>
      <c r="H97" s="816">
        <f>VLOOKUP(B97,COSTING!$B$8:$N$2011,7,)</f>
        <v>0.24479124999999999</v>
      </c>
      <c r="I97" s="816">
        <f>VLOOKUP(B97,COSTING!$B$8:$N$2011,8,)</f>
        <v>0.24479124999999999</v>
      </c>
      <c r="J97" s="815" t="e">
        <f>VLOOKUP(B97,COSTING!$B$8:$N$2011,9,)</f>
        <v>#N/A</v>
      </c>
      <c r="K97" s="815" t="e">
        <f>VLOOKUP(B97,COSTING!$B$8:$N$2011,10,)</f>
        <v>#N/A</v>
      </c>
      <c r="L97" s="816" t="e">
        <f>VLOOKUP(B97,COSTING!$B$8:$N$2011,11,)</f>
        <v>#N/A</v>
      </c>
      <c r="M97" s="817"/>
      <c r="N97" s="817"/>
    </row>
  </sheetData>
  <mergeCells count="5">
    <mergeCell ref="B9:B10"/>
    <mergeCell ref="F9:G9"/>
    <mergeCell ref="H9:I9"/>
    <mergeCell ref="J9:K9"/>
    <mergeCell ref="M9:N10"/>
  </mergeCells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6">
    <tabColor rgb="FFC00000"/>
    <pageSetUpPr fitToPage="1"/>
  </sheetPr>
  <dimension ref="A2:T1076"/>
  <sheetViews>
    <sheetView showGridLines="0" view="pageBreakPreview" topLeftCell="A52" zoomScale="70" zoomScaleNormal="70" zoomScaleSheetLayoutView="70" workbookViewId="0">
      <selection activeCell="B72" sqref="B72:N82"/>
    </sheetView>
  </sheetViews>
  <sheetFormatPr defaultRowHeight="14.25" outlineLevelRow="1"/>
  <cols>
    <col min="1" max="1" width="2" customWidth="1"/>
    <col min="2" max="2" width="8.3984375" customWidth="1"/>
    <col min="3" max="3" width="39.19921875" style="1" customWidth="1"/>
    <col min="4" max="4" width="12.19921875" style="185" customWidth="1"/>
    <col min="5" max="5" width="10.86328125" bestFit="1" customWidth="1"/>
    <col min="6" max="6" width="11.06640625" bestFit="1" customWidth="1"/>
    <col min="7" max="7" width="12.59765625" style="185" bestFit="1" customWidth="1"/>
    <col min="8" max="8" width="9.46484375" customWidth="1"/>
    <col min="11" max="12" width="10.6640625" bestFit="1" customWidth="1"/>
    <col min="13" max="13" width="11" bestFit="1" customWidth="1"/>
    <col min="15" max="15" width="11.6640625" hidden="1" customWidth="1"/>
    <col min="16" max="17" width="0" hidden="1" customWidth="1"/>
    <col min="20" max="20" width="10.86328125" bestFit="1" customWidth="1"/>
  </cols>
  <sheetData>
    <row r="2" spans="1:19" ht="25.5">
      <c r="B2" s="45" t="s">
        <v>650</v>
      </c>
    </row>
    <row r="3" spans="1:19" ht="25.5">
      <c r="B3" s="45"/>
    </row>
    <row r="4" spans="1:19" ht="20.25" customHeight="1" thickBot="1">
      <c r="B4" s="223" t="s">
        <v>1323</v>
      </c>
      <c r="C4" s="479" t="str">
        <f>'COSTING SUMMARY'!C5</f>
        <v>PURI</v>
      </c>
      <c r="I4" s="223" t="s">
        <v>756</v>
      </c>
      <c r="J4" s="223"/>
      <c r="K4" s="35"/>
      <c r="L4" s="35"/>
      <c r="M4" s="35"/>
      <c r="N4" s="35"/>
    </row>
    <row r="5" spans="1:19" ht="19.5" customHeight="1" thickTop="1" thickBot="1">
      <c r="B5" s="45"/>
      <c r="I5" s="224" t="s">
        <v>1807</v>
      </c>
      <c r="J5" s="224"/>
      <c r="K5" s="222"/>
      <c r="L5" s="222"/>
      <c r="M5" s="696"/>
      <c r="N5" s="222"/>
    </row>
    <row r="6" spans="1:19" ht="15" thickTop="1" thickBot="1">
      <c r="B6" s="223" t="s">
        <v>1316</v>
      </c>
      <c r="C6" s="479" t="str">
        <f>'COSTING SUMMARY'!C7</f>
        <v>1-4 January</v>
      </c>
    </row>
    <row r="7" spans="1:19" ht="14.65" thickTop="1">
      <c r="D7" s="480"/>
      <c r="E7" s="478"/>
      <c r="F7" s="478"/>
      <c r="K7" s="220"/>
      <c r="L7" s="220"/>
    </row>
    <row r="8" spans="1:19" ht="30" customHeight="1">
      <c r="B8" s="918" t="s">
        <v>652</v>
      </c>
      <c r="C8" s="482" t="s">
        <v>1302</v>
      </c>
      <c r="D8" s="483" t="s">
        <v>651</v>
      </c>
      <c r="E8" s="484">
        <v>0.1</v>
      </c>
      <c r="F8" s="920" t="s">
        <v>755</v>
      </c>
      <c r="G8" s="920"/>
      <c r="H8" s="919" t="s">
        <v>657</v>
      </c>
      <c r="I8" s="919"/>
      <c r="J8" s="921" t="s">
        <v>754</v>
      </c>
      <c r="K8" s="921"/>
      <c r="L8" s="695" t="e">
        <f>AVERAGE(L10,L20,L31,L42,L52,L62,L83,L94,L106,L118,L129,L140,L151,L167,L184,L200,L216,L232,L248,L266,L285,L303,L321,L339,L357,L375,L394,L412,L430,L448,L466,L482,L499,L515,L531,L547,L563,L581,L600,L618,L636,L672,L654,L690,L709,L727,L745,L763,L781,L794,L807,L820,L826,L832,L838,L844,L852,L860,L866,L874,L882,L890,L898,L905,L913)</f>
        <v>#DIV/0!</v>
      </c>
      <c r="M8" s="919" t="s">
        <v>1317</v>
      </c>
      <c r="N8" s="919"/>
    </row>
    <row r="9" spans="1:19" ht="26.25">
      <c r="B9" s="919"/>
      <c r="C9" s="482" t="s">
        <v>654</v>
      </c>
      <c r="D9" s="485" t="s">
        <v>653</v>
      </c>
      <c r="E9" s="481" t="s">
        <v>1187</v>
      </c>
      <c r="F9" s="481" t="s">
        <v>1309</v>
      </c>
      <c r="G9" s="485" t="s">
        <v>1308</v>
      </c>
      <c r="H9" s="481" t="s">
        <v>1309</v>
      </c>
      <c r="I9" s="482" t="s">
        <v>1308</v>
      </c>
      <c r="J9" s="486" t="s">
        <v>1309</v>
      </c>
      <c r="K9" s="487" t="s">
        <v>1308</v>
      </c>
      <c r="L9" s="482" t="s">
        <v>1314</v>
      </c>
      <c r="M9" s="919"/>
      <c r="N9" s="919"/>
      <c r="O9" s="230" t="s">
        <v>1253</v>
      </c>
    </row>
    <row r="10" spans="1:19" ht="14.65" thickBot="1">
      <c r="B10" s="219" t="s">
        <v>1366</v>
      </c>
      <c r="C10" s="15" t="s">
        <v>1303</v>
      </c>
      <c r="D10" s="184">
        <f>E10*(1+$E$8)</f>
        <v>23100.000000000004</v>
      </c>
      <c r="E10" s="184">
        <v>21000</v>
      </c>
      <c r="F10" s="174">
        <f>H13</f>
        <v>8740.4869028554167</v>
      </c>
      <c r="G10" s="488">
        <f>I13</f>
        <v>8810.4869028554167</v>
      </c>
      <c r="H10" s="500">
        <f>F10/E10</f>
        <v>0.41621366204073412</v>
      </c>
      <c r="I10" s="500">
        <f>G10/E10</f>
        <v>0.41954699537406748</v>
      </c>
      <c r="J10" s="491">
        <f>VLOOKUP(B10,'SALES MIX'!B14:J104,4)</f>
        <v>24</v>
      </c>
      <c r="K10" s="491">
        <f>VLOOKUP(B10,'SALES MIX'!B14:J104,5)</f>
        <v>17</v>
      </c>
      <c r="L10" s="221">
        <f>((F10*J10)+(G10*K10))/((J10+K10)*E10)</f>
        <v>0.4175957758618723</v>
      </c>
      <c r="M10" s="493"/>
      <c r="N10" s="493"/>
      <c r="O10" s="449" t="e">
        <f>((#REF!-#REF!)/#REF!)*100</f>
        <v>#REF!</v>
      </c>
    </row>
    <row r="11" spans="1:19" ht="14.65" customHeight="1" outlineLevel="1" thickTop="1">
      <c r="A11" s="503"/>
      <c r="B11" s="913" t="s">
        <v>1304</v>
      </c>
      <c r="C11" s="914" t="s">
        <v>1305</v>
      </c>
      <c r="D11" s="915" t="s">
        <v>1306</v>
      </c>
      <c r="E11" s="915" t="s">
        <v>60</v>
      </c>
      <c r="F11" s="915" t="s">
        <v>1307</v>
      </c>
      <c r="G11" s="915" t="s">
        <v>1315</v>
      </c>
      <c r="H11" s="907" t="s">
        <v>1312</v>
      </c>
      <c r="I11" s="907"/>
      <c r="J11" s="907" t="s">
        <v>1319</v>
      </c>
      <c r="K11" s="907"/>
      <c r="L11" s="908" t="s">
        <v>1313</v>
      </c>
      <c r="M11" s="907" t="s">
        <v>1317</v>
      </c>
      <c r="N11" s="917"/>
      <c r="O11" s="449"/>
      <c r="S11" t="s">
        <v>1310</v>
      </c>
    </row>
    <row r="12" spans="1:19" ht="14.65" customHeight="1" outlineLevel="1" thickBot="1">
      <c r="A12" s="503"/>
      <c r="B12" s="894"/>
      <c r="C12" s="896"/>
      <c r="D12" s="898"/>
      <c r="E12" s="898"/>
      <c r="F12" s="898"/>
      <c r="G12" s="898"/>
      <c r="H12" s="502" t="s">
        <v>1309</v>
      </c>
      <c r="I12" s="502" t="s">
        <v>1308</v>
      </c>
      <c r="J12" s="502" t="s">
        <v>1309</v>
      </c>
      <c r="K12" s="502" t="s">
        <v>1308</v>
      </c>
      <c r="L12" s="901"/>
      <c r="M12" s="903"/>
      <c r="N12" s="904"/>
      <c r="O12" s="449"/>
      <c r="S12" t="s">
        <v>1311</v>
      </c>
    </row>
    <row r="13" spans="1:19" ht="14.25" customHeight="1" outlineLevel="1">
      <c r="A13" s="503"/>
      <c r="B13" s="504" t="s">
        <v>631</v>
      </c>
      <c r="C13" s="15" t="str">
        <f>IFERROR(VLOOKUP(B13,MasterSheet!$B$6:$N$150,3,),"n/a")</f>
        <v>Injected Whole Chicken (1.25kg)</v>
      </c>
      <c r="D13" s="499">
        <f>1250/9</f>
        <v>138.88888888888889</v>
      </c>
      <c r="E13" s="505" t="str">
        <f>IFERROR(VLOOKUP(B13,[4]MasterSheet!B6:N144,10,),"N/a")</f>
        <v>g</v>
      </c>
      <c r="F13" s="506">
        <f>IFERROR(VLOOKUP(B13,MasterSheet!$B$6:$N$150,11,),"N/a")</f>
        <v>34.314223999999996</v>
      </c>
      <c r="G13" s="488">
        <f>IFERROR(D13*F13,"_")</f>
        <v>4765.8644444444435</v>
      </c>
      <c r="H13" s="905">
        <f>SUM(G13:G18)</f>
        <v>8740.4869028554167</v>
      </c>
      <c r="I13" s="905">
        <f>SUM(G13:G17,G19)</f>
        <v>8810.4869028554167</v>
      </c>
      <c r="J13" s="491">
        <f>D13*$J$10</f>
        <v>3333.333333333333</v>
      </c>
      <c r="K13" s="501">
        <f>D13*$K$10</f>
        <v>2361.1111111111109</v>
      </c>
      <c r="L13" s="501">
        <f>SUM(J13:K13)</f>
        <v>5694.4444444444434</v>
      </c>
      <c r="M13" s="493"/>
      <c r="N13" s="507"/>
      <c r="O13" s="449"/>
    </row>
    <row r="14" spans="1:19" ht="14.25" customHeight="1" outlineLevel="1">
      <c r="A14" s="503"/>
      <c r="B14" s="508" t="s">
        <v>757</v>
      </c>
      <c r="C14" s="15" t="str">
        <f>IFERROR(VLOOKUP(B14,MasterSheet!$B$6:$N$150,3,),"n/a")</f>
        <v xml:space="preserve">Marinade Powder Mix </v>
      </c>
      <c r="D14" s="499">
        <f>D13*0.012</f>
        <v>1.6666666666666667</v>
      </c>
      <c r="E14" s="505" t="str">
        <f>IFERROR(VLOOKUP(B14,[4]MasterSheet!B7:N145,10,),"N/a")</f>
        <v>g</v>
      </c>
      <c r="F14" s="506">
        <f>IFERROR(VLOOKUP(B14,MasterSheet!$B$6:$N$150,11,),"N/a")</f>
        <v>117.51275510204081</v>
      </c>
      <c r="G14" s="488">
        <f t="shared" ref="G14:G19" si="0">IFERROR(D14*F14,"_")</f>
        <v>195.8545918367347</v>
      </c>
      <c r="H14" s="905"/>
      <c r="I14" s="905"/>
      <c r="J14" s="491">
        <f t="shared" ref="J14:J19" si="1">D14*$J$10</f>
        <v>40</v>
      </c>
      <c r="K14" s="501">
        <f t="shared" ref="K14:K19" si="2">D14*$K$10</f>
        <v>28.333333333333336</v>
      </c>
      <c r="L14" s="501">
        <f t="shared" ref="L14:L19" si="3">SUM(J14:K14)</f>
        <v>68.333333333333343</v>
      </c>
      <c r="M14" s="493"/>
      <c r="N14" s="507"/>
      <c r="O14" s="449"/>
    </row>
    <row r="15" spans="1:19" ht="14.25" customHeight="1" outlineLevel="1">
      <c r="A15" s="503"/>
      <c r="B15" s="508" t="s">
        <v>4</v>
      </c>
      <c r="C15" s="15" t="str">
        <f>IFERROR(VLOOKUP(B15,MasterSheet!$B$6:$N$150,3,),"n/a")</f>
        <v>Battering Powder Mix</v>
      </c>
      <c r="D15" s="499">
        <f>D13*0.175</f>
        <v>24.305555555555554</v>
      </c>
      <c r="E15" s="505" t="str">
        <f>IFERROR(VLOOKUP(B15,[4]MasterSheet!$B$6:$N$144,10,),"N/a")</f>
        <v>g</v>
      </c>
      <c r="F15" s="506">
        <f>IFERROR(VLOOKUP(B15,MasterSheet!$B$6:$N$150,11,),"N/a")</f>
        <v>81.617647058823536</v>
      </c>
      <c r="G15" s="488">
        <f t="shared" si="0"/>
        <v>1983.7622549019609</v>
      </c>
      <c r="H15" s="905"/>
      <c r="I15" s="905"/>
      <c r="J15" s="491">
        <f t="shared" si="1"/>
        <v>583.33333333333326</v>
      </c>
      <c r="K15" s="501">
        <f t="shared" si="2"/>
        <v>413.1944444444444</v>
      </c>
      <c r="L15" s="501">
        <f t="shared" si="3"/>
        <v>996.5277777777776</v>
      </c>
      <c r="M15" s="493"/>
      <c r="N15" s="507"/>
      <c r="O15" s="449"/>
    </row>
    <row r="16" spans="1:19" ht="14.25" customHeight="1" outlineLevel="1">
      <c r="A16" s="503"/>
      <c r="B16" s="508" t="s">
        <v>999</v>
      </c>
      <c r="C16" s="15" t="str">
        <f>IFERROR(VLOOKUP(B16,MasterSheet!$B$6:$N$150,3,),"n/a")</f>
        <v>Palm Oil</v>
      </c>
      <c r="D16" s="499">
        <f>D13*0.1</f>
        <v>13.888888888888889</v>
      </c>
      <c r="E16" s="505" t="str">
        <f>IFERROR(VLOOKUP(B16,[4]MasterSheet!B9:N147,10,),"N/a")</f>
        <v>g</v>
      </c>
      <c r="F16" s="506">
        <f>IFERROR(VLOOKUP(B16,MasterSheet!$B$6:$N$150,11,),"N/a")</f>
        <v>25.580404040404041</v>
      </c>
      <c r="G16" s="488">
        <f t="shared" si="0"/>
        <v>355.28338945005612</v>
      </c>
      <c r="H16" s="905"/>
      <c r="I16" s="905"/>
      <c r="J16" s="491">
        <f t="shared" si="1"/>
        <v>333.33333333333337</v>
      </c>
      <c r="K16" s="501">
        <f t="shared" si="2"/>
        <v>236.11111111111111</v>
      </c>
      <c r="L16" s="501">
        <f t="shared" si="3"/>
        <v>569.44444444444446</v>
      </c>
      <c r="M16" s="493"/>
      <c r="N16" s="507"/>
      <c r="O16" s="449"/>
    </row>
    <row r="17" spans="1:15" ht="14.25" customHeight="1" outlineLevel="1">
      <c r="A17" s="503"/>
      <c r="B17" s="509" t="s">
        <v>1318</v>
      </c>
      <c r="C17" s="15" t="str">
        <f>VLOOKUP(B17,CK!$B$8:$L$87,4,)</f>
        <v>Battering Powder Mix Solution(White)</v>
      </c>
      <c r="D17" s="510">
        <f>D13*0.2</f>
        <v>27.777777777777779</v>
      </c>
      <c r="E17" s="505" t="str">
        <f>VLOOKUP(B17,[4]CK!$B$8:$L$87,9,)</f>
        <v>g</v>
      </c>
      <c r="F17" s="506">
        <f>VLOOKUP(B17,CK!$B$8:$L$87,10,)</f>
        <v>30.23</v>
      </c>
      <c r="G17" s="488">
        <f t="shared" si="0"/>
        <v>839.72222222222229</v>
      </c>
      <c r="H17" s="905"/>
      <c r="I17" s="905"/>
      <c r="J17" s="491">
        <f t="shared" si="1"/>
        <v>666.66666666666674</v>
      </c>
      <c r="K17" s="501">
        <f t="shared" si="2"/>
        <v>472.22222222222223</v>
      </c>
      <c r="L17" s="501">
        <f t="shared" si="3"/>
        <v>1138.8888888888889</v>
      </c>
      <c r="M17" s="493"/>
      <c r="N17" s="507"/>
      <c r="O17" s="449"/>
    </row>
    <row r="18" spans="1:15" ht="14.25" customHeight="1" outlineLevel="1">
      <c r="A18" s="503"/>
      <c r="B18" s="675" t="s">
        <v>1778</v>
      </c>
      <c r="C18" s="15" t="str">
        <f>IFERROR(VLOOKUP(B18,MasterSheet!$B$6:$N$421,3,),"n/a")</f>
        <v>BB.Q Papertray</v>
      </c>
      <c r="D18" s="510">
        <v>1</v>
      </c>
      <c r="E18" s="505" t="str">
        <f>IFERROR(VLOOKUP(B18,[4]MasterSheet!B8:N414,10,),"N/a")</f>
        <v>ea</v>
      </c>
      <c r="F18" s="506">
        <f>IFERROR(VLOOKUP(B18,MasterSheet!$B$6:$N$421,11,),"N/a")</f>
        <v>600</v>
      </c>
      <c r="G18" s="488">
        <f>IFERROR(D18*F18,"_")</f>
        <v>600</v>
      </c>
      <c r="H18" s="905"/>
      <c r="I18" s="905"/>
      <c r="J18" s="491"/>
      <c r="K18" s="501"/>
      <c r="L18" s="501"/>
      <c r="M18" s="493"/>
      <c r="N18" s="507"/>
      <c r="O18" s="449"/>
    </row>
    <row r="19" spans="1:15" ht="14.65" customHeight="1" outlineLevel="1" thickBot="1">
      <c r="A19" s="503"/>
      <c r="B19" s="511" t="s">
        <v>1322</v>
      </c>
      <c r="C19" s="512" t="str">
        <f>IFERROR(VLOOKUP(B19,MasterSheet!$B$6:$N$421,3,),"n/a")</f>
        <v>BB.Q CHAMSHELL BOX</v>
      </c>
      <c r="D19" s="513">
        <v>1</v>
      </c>
      <c r="E19" s="514" t="str">
        <f>IFERROR(VLOOKUP(B19,[4]MasterSheet!B9:N415,10,),"N/a")</f>
        <v>ea</v>
      </c>
      <c r="F19" s="515">
        <f>IFERROR(VLOOKUP(B19,MasterSheet!$B$6:$N$421,11,),"N/a")</f>
        <v>670</v>
      </c>
      <c r="G19" s="516">
        <f t="shared" si="0"/>
        <v>670</v>
      </c>
      <c r="H19" s="916"/>
      <c r="I19" s="916"/>
      <c r="J19" s="517">
        <f t="shared" si="1"/>
        <v>24</v>
      </c>
      <c r="K19" s="518">
        <f t="shared" si="2"/>
        <v>17</v>
      </c>
      <c r="L19" s="518">
        <f t="shared" si="3"/>
        <v>41</v>
      </c>
      <c r="M19" s="519"/>
      <c r="N19" s="520"/>
      <c r="O19" s="449"/>
    </row>
    <row r="20" spans="1:15" ht="15" thickTop="1" thickBot="1">
      <c r="B20" s="219" t="s">
        <v>1367</v>
      </c>
      <c r="C20" s="15" t="s">
        <v>1324</v>
      </c>
      <c r="D20" s="184">
        <f>E20*(1+$E$8)</f>
        <v>25300.000000000004</v>
      </c>
      <c r="E20" s="184">
        <v>23000</v>
      </c>
      <c r="F20" s="174">
        <f>H23</f>
        <v>11570.890548688752</v>
      </c>
      <c r="G20" s="488">
        <f>I23</f>
        <v>11640.890548688752</v>
      </c>
      <c r="H20" s="500">
        <f>F20/E20</f>
        <v>0.50308219776907614</v>
      </c>
      <c r="I20" s="500">
        <f>G20/E20</f>
        <v>0.50612567602994574</v>
      </c>
      <c r="J20" s="491">
        <f>VLOOKUP(B20,'SALES MIX'!B14:J104,4)</f>
        <v>0</v>
      </c>
      <c r="K20" s="491">
        <f>VLOOKUP(B20,'SALES MIX'!B14:J104,5)</f>
        <v>0</v>
      </c>
      <c r="L20" s="221" t="e">
        <f>((F20*J20)+(G20*K20))/((J20+K20)*E20)</f>
        <v>#DIV/0!</v>
      </c>
      <c r="M20" s="493"/>
      <c r="N20" s="493"/>
      <c r="O20" s="449" t="e">
        <f>((#REF!-#REF!)/#REF!)*100</f>
        <v>#REF!</v>
      </c>
    </row>
    <row r="21" spans="1:15" ht="14.65" customHeight="1" outlineLevel="1" thickTop="1">
      <c r="B21" s="913" t="s">
        <v>1304</v>
      </c>
      <c r="C21" s="914" t="s">
        <v>1305</v>
      </c>
      <c r="D21" s="915" t="s">
        <v>1306</v>
      </c>
      <c r="E21" s="915" t="s">
        <v>60</v>
      </c>
      <c r="F21" s="915" t="s">
        <v>1307</v>
      </c>
      <c r="G21" s="915" t="s">
        <v>1315</v>
      </c>
      <c r="H21" s="907" t="s">
        <v>1312</v>
      </c>
      <c r="I21" s="907"/>
      <c r="J21" s="907" t="s">
        <v>1319</v>
      </c>
      <c r="K21" s="907"/>
      <c r="L21" s="908" t="s">
        <v>1313</v>
      </c>
      <c r="M21" s="907" t="s">
        <v>1317</v>
      </c>
      <c r="N21" s="917"/>
      <c r="O21" s="449"/>
    </row>
    <row r="22" spans="1:15" ht="14.65" customHeight="1" outlineLevel="1" thickBot="1">
      <c r="B22" s="894"/>
      <c r="C22" s="896"/>
      <c r="D22" s="898"/>
      <c r="E22" s="898"/>
      <c r="F22" s="898"/>
      <c r="G22" s="898"/>
      <c r="H22" s="502" t="s">
        <v>1309</v>
      </c>
      <c r="I22" s="502" t="s">
        <v>1308</v>
      </c>
      <c r="J22" s="502" t="s">
        <v>1309</v>
      </c>
      <c r="K22" s="502" t="s">
        <v>1308</v>
      </c>
      <c r="L22" s="901"/>
      <c r="M22" s="903"/>
      <c r="N22" s="904"/>
      <c r="O22" s="449"/>
    </row>
    <row r="23" spans="1:15" ht="17.25" customHeight="1" outlineLevel="1">
      <c r="B23" s="504" t="s">
        <v>631</v>
      </c>
      <c r="C23" s="15" t="str">
        <f>IFERROR(VLOOKUP(B23,MasterSheet!$B$6:$N$150,3,),"n/a")</f>
        <v>Injected Whole Chicken (1.25kg)</v>
      </c>
      <c r="D23" s="499">
        <f>1250/9</f>
        <v>138.88888888888889</v>
      </c>
      <c r="E23" s="505" t="str">
        <f>IFERROR(VLOOKUP(B23,[4]MasterSheet!B15:N152,10,),"N/a")</f>
        <v>g</v>
      </c>
      <c r="F23" s="506">
        <f>IFERROR(VLOOKUP(B23,MasterSheet!$B$6:$N$150,11,),"N/a")</f>
        <v>34.314223999999996</v>
      </c>
      <c r="G23" s="488">
        <f>IFERROR(D23*F23,"_")</f>
        <v>4765.8644444444435</v>
      </c>
      <c r="H23" s="905">
        <f>SUM(G23:G29)</f>
        <v>11570.890548688752</v>
      </c>
      <c r="I23" s="905">
        <f>SUM(G23:G28,G30)</f>
        <v>11640.890548688752</v>
      </c>
      <c r="J23" s="491">
        <f>D23*$J$20</f>
        <v>0</v>
      </c>
      <c r="K23" s="501">
        <f>D23*$K$20</f>
        <v>0</v>
      </c>
      <c r="L23" s="501">
        <f>SUM(J23:K23)</f>
        <v>0</v>
      </c>
      <c r="M23" s="493"/>
      <c r="N23" s="507"/>
      <c r="O23" s="449"/>
    </row>
    <row r="24" spans="1:15" ht="14.25" customHeight="1" outlineLevel="1">
      <c r="B24" s="508" t="s">
        <v>757</v>
      </c>
      <c r="C24" s="15" t="str">
        <f>IFERROR(VLOOKUP(B24,MasterSheet!$B$6:$N$150,3,),"n/a")</f>
        <v xml:space="preserve">Marinade Powder Mix </v>
      </c>
      <c r="D24" s="499">
        <f>D23*0.012</f>
        <v>1.6666666666666667</v>
      </c>
      <c r="E24" s="505" t="str">
        <f>IFERROR(VLOOKUP(B24,[4]MasterSheet!$B$6:$N$144,10,),"N/a")</f>
        <v>g</v>
      </c>
      <c r="F24" s="506">
        <f>IFERROR(VLOOKUP(B24,MasterSheet!$B$6:$N$150,11,),"N/a")</f>
        <v>117.51275510204081</v>
      </c>
      <c r="G24" s="488">
        <f t="shared" ref="G24:G30" si="4">IFERROR(D24*F24,"_")</f>
        <v>195.8545918367347</v>
      </c>
      <c r="H24" s="905"/>
      <c r="I24" s="905"/>
      <c r="J24" s="491">
        <f t="shared" ref="J24:J29" si="5">D24*$J$20</f>
        <v>0</v>
      </c>
      <c r="K24" s="501">
        <f t="shared" ref="K24:K30" si="6">D24*$K$20</f>
        <v>0</v>
      </c>
      <c r="L24" s="501">
        <f t="shared" ref="L24:L30" si="7">SUM(J24:K24)</f>
        <v>0</v>
      </c>
      <c r="M24" s="493"/>
      <c r="N24" s="507"/>
      <c r="O24" s="449"/>
    </row>
    <row r="25" spans="1:15" ht="14.25" customHeight="1" outlineLevel="1">
      <c r="B25" s="508" t="s">
        <v>4</v>
      </c>
      <c r="C25" s="15" t="str">
        <f>IFERROR(VLOOKUP(B25,MasterSheet!$B$6:$N$150,3,),"n/a")</f>
        <v>Battering Powder Mix</v>
      </c>
      <c r="D25" s="499">
        <f>D23*0.175</f>
        <v>24.305555555555554</v>
      </c>
      <c r="E25" s="505" t="str">
        <f>IFERROR(VLOOKUP(B25,[4]MasterSheet!$B$6:$N$144,10,),"N/a")</f>
        <v>g</v>
      </c>
      <c r="F25" s="506">
        <f>IFERROR(VLOOKUP(B25,MasterSheet!$B$6:$N$150,11,),"N/a")</f>
        <v>81.617647058823536</v>
      </c>
      <c r="G25" s="488">
        <f t="shared" si="4"/>
        <v>1983.7622549019609</v>
      </c>
      <c r="H25" s="905"/>
      <c r="I25" s="905"/>
      <c r="J25" s="491">
        <f t="shared" si="5"/>
        <v>0</v>
      </c>
      <c r="K25" s="501">
        <f t="shared" si="6"/>
        <v>0</v>
      </c>
      <c r="L25" s="501">
        <f t="shared" si="7"/>
        <v>0</v>
      </c>
      <c r="M25" s="493"/>
      <c r="N25" s="507"/>
      <c r="O25" s="449"/>
    </row>
    <row r="26" spans="1:15" ht="14.25" customHeight="1" outlineLevel="1">
      <c r="B26" s="508" t="s">
        <v>999</v>
      </c>
      <c r="C26" s="15" t="str">
        <f>IFERROR(VLOOKUP(B26,MasterSheet!$B$6:$N$150,3,),"n/a")</f>
        <v>Palm Oil</v>
      </c>
      <c r="D26" s="499">
        <f>D23*0.1</f>
        <v>13.888888888888889</v>
      </c>
      <c r="E26" s="505" t="str">
        <f>IFERROR(VLOOKUP(B26,[4]MasterSheet!B18:N155,10,),"N/a")</f>
        <v>g</v>
      </c>
      <c r="F26" s="506">
        <f>IFERROR(VLOOKUP(B26,MasterSheet!$B$6:$N$150,11,),"N/a")</f>
        <v>25.580404040404041</v>
      </c>
      <c r="G26" s="488">
        <f t="shared" si="4"/>
        <v>355.28338945005612</v>
      </c>
      <c r="H26" s="905"/>
      <c r="I26" s="905"/>
      <c r="J26" s="491">
        <f t="shared" si="5"/>
        <v>0</v>
      </c>
      <c r="K26" s="501">
        <f t="shared" si="6"/>
        <v>0</v>
      </c>
      <c r="L26" s="501">
        <f t="shared" si="7"/>
        <v>0</v>
      </c>
      <c r="M26" s="493"/>
      <c r="N26" s="507"/>
      <c r="O26" s="449"/>
    </row>
    <row r="27" spans="1:15" ht="14.25" customHeight="1" outlineLevel="1">
      <c r="B27" s="508" t="s">
        <v>1325</v>
      </c>
      <c r="C27" s="15" t="str">
        <f>IFERROR(VLOOKUP(B27,MasterSheet!$B$6:$N$150,3,),"n/a")</f>
        <v>Hot Spicy Sauce</v>
      </c>
      <c r="D27" s="499">
        <f>D23*15%</f>
        <v>20.833333333333332</v>
      </c>
      <c r="E27" s="505" t="str">
        <f>IFERROR(VLOOKUP(B27,[4]MasterSheet!B18:N155,10,),"N/a")</f>
        <v>g</v>
      </c>
      <c r="F27" s="506">
        <f>IFERROR(VLOOKUP(B27,MasterSheet!$B$6:$N$150,11,),"N/a")</f>
        <v>135.85937500000003</v>
      </c>
      <c r="G27" s="488">
        <f t="shared" si="4"/>
        <v>2830.4036458333339</v>
      </c>
      <c r="H27" s="905"/>
      <c r="I27" s="905"/>
      <c r="J27" s="491">
        <f t="shared" si="5"/>
        <v>0</v>
      </c>
      <c r="K27" s="501">
        <f t="shared" si="6"/>
        <v>0</v>
      </c>
      <c r="L27" s="501">
        <f>SUM(J27:K27)</f>
        <v>0</v>
      </c>
      <c r="M27" s="493"/>
      <c r="N27" s="507"/>
      <c r="O27" s="449"/>
    </row>
    <row r="28" spans="1:15" ht="14.25" customHeight="1" outlineLevel="1">
      <c r="B28" s="509" t="s">
        <v>1318</v>
      </c>
      <c r="C28" s="15" t="str">
        <f>VLOOKUP(B28,CK!$B$8:$L$87,4,)</f>
        <v>Battering Powder Mix Solution(White)</v>
      </c>
      <c r="D28" s="510">
        <f>D23*0.2</f>
        <v>27.777777777777779</v>
      </c>
      <c r="E28" s="505" t="str">
        <f>VLOOKUP(B28,[4]CK!$B$8:$L$87,9,)</f>
        <v>g</v>
      </c>
      <c r="F28" s="506">
        <f>VLOOKUP(B28,CK!$B$8:$L$87,10,)</f>
        <v>30.23</v>
      </c>
      <c r="G28" s="488">
        <f t="shared" si="4"/>
        <v>839.72222222222229</v>
      </c>
      <c r="H28" s="905"/>
      <c r="I28" s="905"/>
      <c r="J28" s="491">
        <f t="shared" si="5"/>
        <v>0</v>
      </c>
      <c r="K28" s="501">
        <f t="shared" si="6"/>
        <v>0</v>
      </c>
      <c r="L28" s="501">
        <f t="shared" si="7"/>
        <v>0</v>
      </c>
      <c r="M28" s="493"/>
      <c r="N28" s="507"/>
      <c r="O28" s="449"/>
    </row>
    <row r="29" spans="1:15" ht="14.25" customHeight="1" outlineLevel="1">
      <c r="B29" s="675" t="s">
        <v>1778</v>
      </c>
      <c r="C29" s="15" t="str">
        <f>IFERROR(VLOOKUP(B29,MasterSheet!$B$6:$N$421,3,),"n/a")</f>
        <v>BB.Q Papertray</v>
      </c>
      <c r="D29" s="510">
        <v>1</v>
      </c>
      <c r="E29" s="505" t="str">
        <f>IFERROR(VLOOKUP(B29,[4]MasterSheet!B19:N425,10,),"N/a")</f>
        <v>ea</v>
      </c>
      <c r="F29" s="506">
        <f>IFERROR(VLOOKUP(B29,MasterSheet!$B$6:$N$421,11,),"N/a")</f>
        <v>600</v>
      </c>
      <c r="G29" s="488">
        <f t="shared" si="4"/>
        <v>600</v>
      </c>
      <c r="H29" s="905"/>
      <c r="I29" s="905"/>
      <c r="J29" s="491">
        <f t="shared" si="5"/>
        <v>0</v>
      </c>
      <c r="K29" s="501"/>
      <c r="L29" s="501">
        <f t="shared" si="7"/>
        <v>0</v>
      </c>
      <c r="M29" s="493"/>
      <c r="N29" s="507"/>
      <c r="O29" s="449"/>
    </row>
    <row r="30" spans="1:15" ht="14.65" customHeight="1" outlineLevel="1" thickBot="1">
      <c r="B30" s="511" t="s">
        <v>1322</v>
      </c>
      <c r="C30" s="512" t="str">
        <f>IFERROR(VLOOKUP(B30,MasterSheet!$B$6:$N$421,3,),"n/a")</f>
        <v>BB.Q CHAMSHELL BOX</v>
      </c>
      <c r="D30" s="513">
        <v>1</v>
      </c>
      <c r="E30" s="514" t="str">
        <f>IFERROR(VLOOKUP(B30,[4]MasterSheet!B18:N424,10,),"N/a")</f>
        <v>ea</v>
      </c>
      <c r="F30" s="515">
        <f>IFERROR(VLOOKUP(B30,MasterSheet!$B$6:$N$421,11,),"N/a")</f>
        <v>670</v>
      </c>
      <c r="G30" s="516">
        <f t="shared" si="4"/>
        <v>670</v>
      </c>
      <c r="H30" s="916"/>
      <c r="I30" s="916"/>
      <c r="J30" s="517"/>
      <c r="K30" s="518">
        <f t="shared" si="6"/>
        <v>0</v>
      </c>
      <c r="L30" s="518">
        <f t="shared" si="7"/>
        <v>0</v>
      </c>
      <c r="M30" s="519"/>
      <c r="N30" s="520"/>
      <c r="O30" s="449"/>
    </row>
    <row r="31" spans="1:15" ht="14.65" thickTop="1">
      <c r="B31" s="219" t="s">
        <v>1368</v>
      </c>
      <c r="C31" s="15" t="s">
        <v>1326</v>
      </c>
      <c r="D31" s="184">
        <f>E31*(1+$E$8)</f>
        <v>25300.000000000004</v>
      </c>
      <c r="E31" s="184">
        <v>23000</v>
      </c>
      <c r="F31" s="174">
        <f>H34</f>
        <v>8200.6636313245835</v>
      </c>
      <c r="G31" s="488">
        <f>I34</f>
        <v>8270.6636313245835</v>
      </c>
      <c r="H31" s="500">
        <f>F31/E31</f>
        <v>0.35655059266628625</v>
      </c>
      <c r="I31" s="500">
        <f>G31/E31</f>
        <v>0.35959407092715578</v>
      </c>
      <c r="J31" s="491">
        <f>VLOOKUP(B31,'SALES MIX'!B14:J104,4)</f>
        <v>23</v>
      </c>
      <c r="K31" s="491">
        <f>VLOOKUP(B31,'SALES MIX'!B14:J104,5)</f>
        <v>14</v>
      </c>
      <c r="L31" s="221">
        <f>((F31*J31)+(G31*K31))/((J31+K31)*E31)</f>
        <v>0.35770217903526391</v>
      </c>
      <c r="M31" s="493"/>
      <c r="N31" s="493"/>
      <c r="O31" s="449"/>
    </row>
    <row r="32" spans="1:15" ht="14.65" hidden="1" customHeight="1" outlineLevel="1" thickTop="1">
      <c r="B32" s="913" t="s">
        <v>1304</v>
      </c>
      <c r="C32" s="914" t="s">
        <v>1305</v>
      </c>
      <c r="D32" s="915" t="s">
        <v>1306</v>
      </c>
      <c r="E32" s="915" t="s">
        <v>60</v>
      </c>
      <c r="F32" s="915" t="s">
        <v>1307</v>
      </c>
      <c r="G32" s="915" t="s">
        <v>1315</v>
      </c>
      <c r="H32" s="907" t="s">
        <v>1312</v>
      </c>
      <c r="I32" s="907"/>
      <c r="J32" s="907" t="s">
        <v>1319</v>
      </c>
      <c r="K32" s="907"/>
      <c r="L32" s="908" t="s">
        <v>1313</v>
      </c>
      <c r="M32" s="907" t="s">
        <v>1317</v>
      </c>
      <c r="N32" s="917"/>
      <c r="O32" s="449"/>
    </row>
    <row r="33" spans="2:19" ht="14.65" hidden="1" customHeight="1" outlineLevel="1" thickBot="1">
      <c r="B33" s="894"/>
      <c r="C33" s="896"/>
      <c r="D33" s="898"/>
      <c r="E33" s="898"/>
      <c r="F33" s="898"/>
      <c r="G33" s="898"/>
      <c r="H33" s="502" t="s">
        <v>1309</v>
      </c>
      <c r="I33" s="502" t="s">
        <v>1308</v>
      </c>
      <c r="J33" s="502" t="s">
        <v>1309</v>
      </c>
      <c r="K33" s="502" t="s">
        <v>1308</v>
      </c>
      <c r="L33" s="901"/>
      <c r="M33" s="903"/>
      <c r="N33" s="904"/>
      <c r="O33" s="449"/>
    </row>
    <row r="34" spans="2:19" ht="17.25" hidden="1" customHeight="1" outlineLevel="1">
      <c r="B34" s="504" t="s">
        <v>631</v>
      </c>
      <c r="C34" s="15" t="str">
        <f>IFERROR(VLOOKUP(B34,MasterSheet!$B$6:$N$150,3,),"n/a")</f>
        <v>Injected Whole Chicken (1.25kg)</v>
      </c>
      <c r="D34" s="499">
        <f>1250/9</f>
        <v>138.88888888888889</v>
      </c>
      <c r="E34" s="521" t="str">
        <f>IFERROR(VLOOKUP(B34,[4]MasterSheet!B25:N162,10,),"N/a")</f>
        <v>g</v>
      </c>
      <c r="F34" s="506">
        <f>IFERROR(VLOOKUP(B34,MasterSheet!$B$6:$N$150,11,),"N/a")</f>
        <v>34.314223999999996</v>
      </c>
      <c r="G34" s="488">
        <f>IFERROR(D34*F34,"_")</f>
        <v>4765.8644444444435</v>
      </c>
      <c r="H34" s="905">
        <f>SUM(G34:G40)</f>
        <v>8200.6636313245835</v>
      </c>
      <c r="I34" s="922">
        <f>SUM(G34:G39,G41)</f>
        <v>8270.6636313245835</v>
      </c>
      <c r="J34" s="491">
        <f>D34*$J$31</f>
        <v>3194.4444444444443</v>
      </c>
      <c r="K34" s="501">
        <f>D34*$K$31</f>
        <v>1944.4444444444443</v>
      </c>
      <c r="L34" s="501">
        <f>SUM(J34:K34)</f>
        <v>5138.8888888888887</v>
      </c>
      <c r="M34" s="493"/>
      <c r="N34" s="507"/>
      <c r="O34" s="449"/>
    </row>
    <row r="35" spans="2:19" ht="14.25" hidden="1" customHeight="1" outlineLevel="1">
      <c r="B35" s="508" t="s">
        <v>1327</v>
      </c>
      <c r="C35" s="15" t="str">
        <f>IFERROR(VLOOKUP(B35,MasterSheet!$B$6:$N$150,3,),"n/a")</f>
        <v>Palm Oil</v>
      </c>
      <c r="D35" s="499">
        <v>13.888888888888889</v>
      </c>
      <c r="E35" s="521" t="str">
        <f>IFERROR(VLOOKUP(B35,[4]MasterSheet!$B$6:$N$144,10,),"N/a")</f>
        <v>g</v>
      </c>
      <c r="F35" s="506">
        <f>IFERROR(VLOOKUP(B35,MasterSheet!$B$6:$N$150,11,),"N/a")</f>
        <v>25.580404040404041</v>
      </c>
      <c r="G35" s="488">
        <f t="shared" ref="G35:G41" si="8">IFERROR(D35*F35,"_")</f>
        <v>355.28338945005612</v>
      </c>
      <c r="H35" s="905"/>
      <c r="I35" s="905"/>
      <c r="J35" s="491">
        <f t="shared" ref="J35:J41" si="9">D35*$J$31</f>
        <v>319.44444444444446</v>
      </c>
      <c r="K35" s="501">
        <f t="shared" ref="K35:K41" si="10">D35*$K$31</f>
        <v>194.44444444444446</v>
      </c>
      <c r="L35" s="501">
        <f t="shared" ref="L35:L41" si="11">SUM(J35:K35)</f>
        <v>513.88888888888891</v>
      </c>
      <c r="M35" s="493"/>
      <c r="N35" s="507"/>
      <c r="O35" s="449"/>
    </row>
    <row r="36" spans="2:19" ht="14.25" hidden="1" customHeight="1" outlineLevel="1">
      <c r="B36" s="508" t="s">
        <v>909</v>
      </c>
      <c r="C36" s="15" t="str">
        <f>IFERROR(VLOOKUP(B36,MasterSheet!$B$6:$N$150,3,),"n/a")</f>
        <v xml:space="preserve">Cheese Taste Seasoning Mix </v>
      </c>
      <c r="D36" s="499">
        <f>D34*4%</f>
        <v>5.5555555555555554</v>
      </c>
      <c r="E36" s="521" t="str">
        <f>IFERROR(VLOOKUP(B36,[4]MasterSheet!$B$6:$N$144,10,),"N/a")</f>
        <v>g</v>
      </c>
      <c r="F36" s="506">
        <f>IFERROR(VLOOKUP(B36,MasterSheet!$B$6:$N$150,11,),"N/a")</f>
        <v>294.48979591836735</v>
      </c>
      <c r="G36" s="488">
        <f t="shared" si="8"/>
        <v>1636.0544217687075</v>
      </c>
      <c r="H36" s="905"/>
      <c r="I36" s="905"/>
      <c r="J36" s="491">
        <f t="shared" si="9"/>
        <v>127.77777777777777</v>
      </c>
      <c r="K36" s="501">
        <f t="shared" si="10"/>
        <v>77.777777777777771</v>
      </c>
      <c r="L36" s="501">
        <f t="shared" si="11"/>
        <v>205.55555555555554</v>
      </c>
      <c r="M36" s="493"/>
      <c r="N36" s="507"/>
      <c r="O36" s="449"/>
    </row>
    <row r="37" spans="2:19" ht="14.25" hidden="1" customHeight="1" outlineLevel="1">
      <c r="B37" s="508" t="s">
        <v>985</v>
      </c>
      <c r="C37" s="15" t="str">
        <f>IFERROR(VLOOKUP(B37,MasterSheet!$B$6:$N$150,3,),"n/a")</f>
        <v>Lemon</v>
      </c>
      <c r="D37" s="499">
        <v>0.05</v>
      </c>
      <c r="E37" s="521" t="str">
        <f>IFERROR(VLOOKUP(B37,[4]MasterSheet!B28:N165,10,),"N/a")</f>
        <v>ea</v>
      </c>
      <c r="F37" s="506">
        <f>IFERROR(VLOOKUP(B37,MasterSheet!$B$6:$N$150,11,),"N/a")</f>
        <v>35.714285714285715</v>
      </c>
      <c r="G37" s="488">
        <f t="shared" si="8"/>
        <v>1.7857142857142858</v>
      </c>
      <c r="H37" s="905"/>
      <c r="I37" s="905"/>
      <c r="J37" s="491">
        <f t="shared" si="9"/>
        <v>1.1500000000000001</v>
      </c>
      <c r="K37" s="501">
        <f t="shared" si="10"/>
        <v>0.70000000000000007</v>
      </c>
      <c r="L37" s="501">
        <f t="shared" si="11"/>
        <v>1.85</v>
      </c>
      <c r="M37" s="493"/>
      <c r="N37" s="507"/>
      <c r="O37" s="449"/>
      <c r="S37" s="3"/>
    </row>
    <row r="38" spans="2:19" ht="14.25" hidden="1" customHeight="1" outlineLevel="1">
      <c r="B38" s="509" t="s">
        <v>1328</v>
      </c>
      <c r="C38" s="15" t="str">
        <f>VLOOKUP(B38,CK!$B$8:$L$87,4,)</f>
        <v>Battering Powder Mix C Solution(Yellow)</v>
      </c>
      <c r="D38" s="510">
        <f>D34*0.2</f>
        <v>27.777777777777779</v>
      </c>
      <c r="E38" s="521" t="str">
        <f>VLOOKUP(B38,[4]CK!$B$8:$L$87,9,)</f>
        <v>g</v>
      </c>
      <c r="F38" s="506">
        <f>VLOOKUP(B38,CK!$B$8:$L$87,10,)</f>
        <v>23.80952380952381</v>
      </c>
      <c r="G38" s="488">
        <f>IFERROR(D38*F38,"_")</f>
        <v>661.37566137566137</v>
      </c>
      <c r="H38" s="905"/>
      <c r="I38" s="905"/>
      <c r="J38" s="491">
        <f t="shared" si="9"/>
        <v>638.88888888888891</v>
      </c>
      <c r="K38" s="501">
        <f t="shared" si="10"/>
        <v>388.88888888888891</v>
      </c>
      <c r="L38" s="501">
        <f t="shared" si="11"/>
        <v>1027.7777777777778</v>
      </c>
      <c r="M38" s="493"/>
      <c r="N38" s="507"/>
      <c r="O38" s="449"/>
    </row>
    <row r="39" spans="2:19" ht="14.25" hidden="1" customHeight="1" outlineLevel="1">
      <c r="B39" s="509" t="s">
        <v>1329</v>
      </c>
      <c r="C39" s="15" t="str">
        <f>VLOOKUP(B39,CK!$B$8:$L$87,4,)</f>
        <v>Lemon Syrup</v>
      </c>
      <c r="D39" s="510">
        <v>5</v>
      </c>
      <c r="E39" s="521" t="str">
        <f>VLOOKUP(B39,[4]CK!$B$8:$L$87,9,)</f>
        <v>g</v>
      </c>
      <c r="F39" s="506">
        <f>VLOOKUP(B39,CK!$B$8:$L$87,10,)</f>
        <v>36.06</v>
      </c>
      <c r="G39" s="488">
        <f>IFERROR(D39*F39,"_")</f>
        <v>180.3</v>
      </c>
      <c r="H39" s="905"/>
      <c r="I39" s="905"/>
      <c r="J39" s="491">
        <f t="shared" si="9"/>
        <v>115</v>
      </c>
      <c r="K39" s="501">
        <f t="shared" si="10"/>
        <v>70</v>
      </c>
      <c r="L39" s="501">
        <f>SUM(J39:K39)</f>
        <v>185</v>
      </c>
      <c r="M39" s="493"/>
      <c r="N39" s="507"/>
      <c r="O39" s="449"/>
    </row>
    <row r="40" spans="2:19" ht="14.25" hidden="1" customHeight="1" outlineLevel="1">
      <c r="B40" s="675" t="s">
        <v>1778</v>
      </c>
      <c r="C40" s="15" t="str">
        <f>IFERROR(VLOOKUP(B40,MasterSheet!$B$6:$N$421,3,),"n/a")</f>
        <v>BB.Q Papertray</v>
      </c>
      <c r="D40" s="510">
        <v>1</v>
      </c>
      <c r="E40" s="505" t="str">
        <f>IFERROR(VLOOKUP(B40,[4]MasterSheet!B30:N436,10,),"N/a")</f>
        <v>ea</v>
      </c>
      <c r="F40" s="506">
        <f>IFERROR(VLOOKUP(B40,MasterSheet!$B$6:$N$421,11,),"N/a")</f>
        <v>600</v>
      </c>
      <c r="G40" s="488">
        <f>IFERROR(D40*F40,"_")</f>
        <v>600</v>
      </c>
      <c r="H40" s="905"/>
      <c r="I40" s="905"/>
      <c r="J40" s="491"/>
      <c r="K40" s="501"/>
      <c r="L40" s="501"/>
      <c r="M40" s="493"/>
      <c r="N40" s="507"/>
      <c r="O40" s="449"/>
    </row>
    <row r="41" spans="2:19" ht="14.65" hidden="1" customHeight="1" outlineLevel="1" thickBot="1">
      <c r="B41" s="511" t="s">
        <v>1322</v>
      </c>
      <c r="C41" s="512" t="str">
        <f>IFERROR(VLOOKUP(B41,MasterSheet!$B$6:$N$421,3,),"n/a")</f>
        <v>BB.Q CHAMSHELL BOX</v>
      </c>
      <c r="D41" s="513">
        <v>1</v>
      </c>
      <c r="E41" s="522" t="str">
        <f>IFERROR(VLOOKUP(B41,[4]MasterSheet!B28:N434,10,),"N/a")</f>
        <v>ea</v>
      </c>
      <c r="F41" s="515">
        <f>IFERROR(VLOOKUP(B41,MasterSheet!$B$6:$N$421,11,),"N/a")</f>
        <v>670</v>
      </c>
      <c r="G41" s="516">
        <f t="shared" si="8"/>
        <v>670</v>
      </c>
      <c r="H41" s="916"/>
      <c r="I41" s="916"/>
      <c r="J41" s="517">
        <f t="shared" si="9"/>
        <v>23</v>
      </c>
      <c r="K41" s="518">
        <f t="shared" si="10"/>
        <v>14</v>
      </c>
      <c r="L41" s="518">
        <f t="shared" si="11"/>
        <v>37</v>
      </c>
      <c r="M41" s="519"/>
      <c r="N41" s="520"/>
      <c r="O41" s="449"/>
    </row>
    <row r="42" spans="2:19" collapsed="1">
      <c r="B42" s="219" t="s">
        <v>1369</v>
      </c>
      <c r="C42" s="15" t="s">
        <v>1330</v>
      </c>
      <c r="D42" s="184">
        <f>E42*(1+$E$8)</f>
        <v>25300.000000000004</v>
      </c>
      <c r="E42" s="184">
        <v>23000</v>
      </c>
      <c r="F42" s="174">
        <f>H45</f>
        <v>8532.7223589065252</v>
      </c>
      <c r="G42" s="488">
        <f>I45</f>
        <v>8602.7223589065252</v>
      </c>
      <c r="H42" s="500">
        <f>F42/E42</f>
        <v>0.37098792864810981</v>
      </c>
      <c r="I42" s="500">
        <f>G42/E42</f>
        <v>0.37403140690897935</v>
      </c>
      <c r="J42" s="491">
        <f>VLOOKUP(B42,'SALES MIX'!B14:J104,4)</f>
        <v>11</v>
      </c>
      <c r="K42" s="501">
        <f>VLOOKUP(B42,'SALES MIX'!B14:J104,5)</f>
        <v>4</v>
      </c>
      <c r="L42" s="221">
        <f>((F42*J42)+(G42*K42))/((J42+K42)*E42)</f>
        <v>0.37179952285100837</v>
      </c>
      <c r="M42" s="493"/>
      <c r="N42" s="493"/>
      <c r="O42" s="449"/>
    </row>
    <row r="43" spans="2:19" ht="14.65" hidden="1" customHeight="1" outlineLevel="1" thickTop="1">
      <c r="B43" s="913" t="s">
        <v>1304</v>
      </c>
      <c r="C43" s="914" t="s">
        <v>1305</v>
      </c>
      <c r="D43" s="915" t="s">
        <v>1306</v>
      </c>
      <c r="E43" s="915" t="s">
        <v>60</v>
      </c>
      <c r="F43" s="915" t="s">
        <v>1307</v>
      </c>
      <c r="G43" s="915" t="s">
        <v>1315</v>
      </c>
      <c r="H43" s="907" t="s">
        <v>1312</v>
      </c>
      <c r="I43" s="907"/>
      <c r="J43" s="907" t="s">
        <v>1319</v>
      </c>
      <c r="K43" s="907"/>
      <c r="L43" s="908" t="s">
        <v>1313</v>
      </c>
      <c r="M43" s="907" t="s">
        <v>1317</v>
      </c>
      <c r="N43" s="917"/>
      <c r="O43" s="449"/>
    </row>
    <row r="44" spans="2:19" ht="14.65" hidden="1" customHeight="1" outlineLevel="1" thickBot="1">
      <c r="B44" s="894"/>
      <c r="C44" s="896"/>
      <c r="D44" s="898"/>
      <c r="E44" s="898"/>
      <c r="F44" s="898"/>
      <c r="G44" s="898"/>
      <c r="H44" s="502" t="s">
        <v>1309</v>
      </c>
      <c r="I44" s="502" t="s">
        <v>1308</v>
      </c>
      <c r="J44" s="502" t="s">
        <v>1309</v>
      </c>
      <c r="K44" s="502" t="s">
        <v>1308</v>
      </c>
      <c r="L44" s="901"/>
      <c r="M44" s="903"/>
      <c r="N44" s="904"/>
      <c r="O44" s="449"/>
    </row>
    <row r="45" spans="2:19" ht="14.25" hidden="1" customHeight="1" outlineLevel="1">
      <c r="B45" s="504" t="s">
        <v>1331</v>
      </c>
      <c r="C45" s="15" t="str">
        <f>IFERROR(VLOOKUP(B45,MasterSheet!$B$6:$N$150,3,),"n/a")</f>
        <v>Injected Whole Chicken (1.25kg)</v>
      </c>
      <c r="D45" s="499">
        <f>1250/9</f>
        <v>138.88888888888889</v>
      </c>
      <c r="E45" s="505" t="str">
        <f>IFERROR(VLOOKUP(B45,[4]MasterSheet!B35:N172,10,),"N/a")</f>
        <v>g</v>
      </c>
      <c r="F45" s="506">
        <f>IFERROR(VLOOKUP(B45,MasterSheet!$B$6:$N$150,11,),"N/a")</f>
        <v>34.314223999999996</v>
      </c>
      <c r="G45" s="488">
        <f t="shared" ref="G45:G51" si="12">IFERROR(D45*F45,"_")</f>
        <v>4765.8644444444435</v>
      </c>
      <c r="H45" s="905">
        <f>SUM(G45:G50)</f>
        <v>8532.7223589065252</v>
      </c>
      <c r="I45" s="905">
        <f>SUM(G45:G49,G51)</f>
        <v>8602.7223589065252</v>
      </c>
      <c r="J45" s="491">
        <f>D45*$J$42</f>
        <v>1527.7777777777778</v>
      </c>
      <c r="K45" s="501">
        <f>D45*$K$42</f>
        <v>555.55555555555554</v>
      </c>
      <c r="L45" s="501">
        <f>SUM(J45:K45)</f>
        <v>2083.3333333333335</v>
      </c>
      <c r="M45" s="493"/>
      <c r="N45" s="507"/>
      <c r="O45" s="449"/>
    </row>
    <row r="46" spans="2:19" ht="14.25" hidden="1" customHeight="1" outlineLevel="1">
      <c r="B46" s="508" t="s">
        <v>1327</v>
      </c>
      <c r="C46" s="15" t="str">
        <f>IFERROR(VLOOKUP(B46,MasterSheet!$B$6:$N$150,3,),"n/a")</f>
        <v>Palm Oil</v>
      </c>
      <c r="D46" s="499">
        <f>D45*10%</f>
        <v>13.888888888888889</v>
      </c>
      <c r="E46" s="505" t="str">
        <f>IFERROR(VLOOKUP(B46,[4]MasterSheet!$B$6:$N$144,10,),"N/a")</f>
        <v>g</v>
      </c>
      <c r="F46" s="506">
        <f>IFERROR(VLOOKUP(B46,MasterSheet!$B$6:$N$150,11,),"N/a")</f>
        <v>25.580404040404041</v>
      </c>
      <c r="G46" s="488">
        <f t="shared" si="12"/>
        <v>355.28338945005612</v>
      </c>
      <c r="H46" s="905"/>
      <c r="I46" s="905"/>
      <c r="J46" s="491">
        <f t="shared" ref="J46:J51" si="13">D46*$J$42</f>
        <v>152.77777777777777</v>
      </c>
      <c r="K46" s="501">
        <f t="shared" ref="K46:K51" si="14">D46*$K$42</f>
        <v>55.555555555555557</v>
      </c>
      <c r="L46" s="501">
        <f t="shared" ref="L46:L51" si="15">SUM(J46:K46)</f>
        <v>208.33333333333331</v>
      </c>
      <c r="M46" s="493"/>
      <c r="N46" s="507"/>
      <c r="O46" s="449"/>
    </row>
    <row r="47" spans="2:19" ht="14.25" hidden="1" customHeight="1" outlineLevel="1">
      <c r="B47" s="508" t="s">
        <v>759</v>
      </c>
      <c r="C47" s="15" t="str">
        <f>IFERROR(VLOOKUP(B47,MasterSheet!$B$6:$N$150,3,),"n/a")</f>
        <v>Mala Hot Sauce</v>
      </c>
      <c r="D47" s="499">
        <f>D45*12%</f>
        <v>16.666666666666664</v>
      </c>
      <c r="E47" s="505" t="str">
        <f>IFERROR(VLOOKUP(B47,[4]MasterSheet!$B$6:$N$144,10,),"N/a")</f>
        <v>g</v>
      </c>
      <c r="F47" s="506">
        <f>IFERROR(VLOOKUP(B47,MasterSheet!$B$6:$N$150,11,),"N/a")</f>
        <v>125.26041666666667</v>
      </c>
      <c r="G47" s="488">
        <f t="shared" si="12"/>
        <v>2087.6736111111109</v>
      </c>
      <c r="H47" s="905"/>
      <c r="I47" s="905"/>
      <c r="J47" s="491">
        <f t="shared" si="13"/>
        <v>183.33333333333331</v>
      </c>
      <c r="K47" s="501">
        <f t="shared" si="14"/>
        <v>66.666666666666657</v>
      </c>
      <c r="L47" s="501">
        <f t="shared" si="15"/>
        <v>249.99999999999997</v>
      </c>
      <c r="M47" s="493"/>
      <c r="N47" s="507"/>
      <c r="O47" s="449"/>
    </row>
    <row r="48" spans="2:19" ht="14.25" hidden="1" customHeight="1" outlineLevel="1">
      <c r="B48" s="508" t="s">
        <v>370</v>
      </c>
      <c r="C48" s="15" t="str">
        <f>IFERROR(VLOOKUP(B48,MasterSheet!$B$6:$N$150,3,),"n/a")</f>
        <v>Crushed Peanut</v>
      </c>
      <c r="D48" s="499">
        <v>1</v>
      </c>
      <c r="E48" s="505" t="str">
        <f>IFERROR(VLOOKUP(B48,[4]MasterSheet!B38:N175,10,),"N/a")</f>
        <v>g</v>
      </c>
      <c r="F48" s="506">
        <f>IFERROR(VLOOKUP(B48,MasterSheet!$B$6:$N$150,11,),"N/a")</f>
        <v>62.525252525252526</v>
      </c>
      <c r="G48" s="488">
        <f t="shared" si="12"/>
        <v>62.525252525252526</v>
      </c>
      <c r="H48" s="905"/>
      <c r="I48" s="905"/>
      <c r="J48" s="491">
        <f t="shared" si="13"/>
        <v>11</v>
      </c>
      <c r="K48" s="501">
        <f t="shared" si="14"/>
        <v>4</v>
      </c>
      <c r="L48" s="501">
        <f t="shared" si="15"/>
        <v>15</v>
      </c>
      <c r="M48" s="493"/>
      <c r="N48" s="507"/>
      <c r="O48" s="449"/>
    </row>
    <row r="49" spans="2:15" ht="14.25" hidden="1" customHeight="1" outlineLevel="1">
      <c r="B49" s="509" t="s">
        <v>1328</v>
      </c>
      <c r="C49" s="15" t="str">
        <f>VLOOKUP(B49,CK!$B$8:$L$87,4,)</f>
        <v>Battering Powder Mix C Solution(Yellow)</v>
      </c>
      <c r="D49" s="510">
        <f>D45*0.2</f>
        <v>27.777777777777779</v>
      </c>
      <c r="E49" s="505" t="str">
        <f>VLOOKUP(B49,[4]CK!$B$8:$L$87,9,)</f>
        <v>g</v>
      </c>
      <c r="F49" s="506">
        <f>VLOOKUP(B49,CK!$B$8:$L$87,10,)</f>
        <v>23.80952380952381</v>
      </c>
      <c r="G49" s="488">
        <f t="shared" si="12"/>
        <v>661.37566137566137</v>
      </c>
      <c r="H49" s="905"/>
      <c r="I49" s="905"/>
      <c r="J49" s="491">
        <f t="shared" si="13"/>
        <v>305.55555555555554</v>
      </c>
      <c r="K49" s="501">
        <f t="shared" si="14"/>
        <v>111.11111111111111</v>
      </c>
      <c r="L49" s="501">
        <f t="shared" si="15"/>
        <v>416.66666666666663</v>
      </c>
      <c r="M49" s="493"/>
      <c r="N49" s="507"/>
      <c r="O49" s="449"/>
    </row>
    <row r="50" spans="2:15" ht="14.25" hidden="1" customHeight="1" outlineLevel="1">
      <c r="B50" s="675" t="s">
        <v>1778</v>
      </c>
      <c r="C50" s="15" t="str">
        <f>IFERROR(VLOOKUP(B50,MasterSheet!$B$6:$N$421,3,),"n/a")</f>
        <v>BB.Q Papertray</v>
      </c>
      <c r="D50" s="510">
        <v>1</v>
      </c>
      <c r="E50" s="505" t="str">
        <f>IFERROR(VLOOKUP(B50,[4]MasterSheet!B40:N446,10,),"N/a")</f>
        <v>ea</v>
      </c>
      <c r="F50" s="506">
        <f>IFERROR(VLOOKUP(B50,MasterSheet!$B$6:$N$421,11,),"N/a")</f>
        <v>600</v>
      </c>
      <c r="G50" s="488">
        <f t="shared" si="12"/>
        <v>600</v>
      </c>
      <c r="H50" s="905"/>
      <c r="I50" s="905"/>
      <c r="J50" s="491"/>
      <c r="K50" s="501"/>
      <c r="L50" s="501"/>
      <c r="M50" s="493"/>
      <c r="N50" s="507"/>
      <c r="O50" s="449"/>
    </row>
    <row r="51" spans="2:15" ht="14.65" hidden="1" customHeight="1" outlineLevel="1" thickBot="1">
      <c r="B51" s="511" t="s">
        <v>1322</v>
      </c>
      <c r="C51" s="512" t="str">
        <f>IFERROR(VLOOKUP(B51,MasterSheet!$B$6:$N$421,3,),"n/a")</f>
        <v>BB.Q CHAMSHELL BOX</v>
      </c>
      <c r="D51" s="513">
        <v>1</v>
      </c>
      <c r="E51" s="514" t="str">
        <f>IFERROR(VLOOKUP(B51,[4]MasterSheet!B38:N444,10,),"N/a")</f>
        <v>ea</v>
      </c>
      <c r="F51" s="515">
        <f>IFERROR(VLOOKUP(B51,MasterSheet!$B$6:$N$421,11,),"N/a")</f>
        <v>670</v>
      </c>
      <c r="G51" s="516">
        <f t="shared" si="12"/>
        <v>670</v>
      </c>
      <c r="H51" s="916"/>
      <c r="I51" s="916"/>
      <c r="J51" s="517">
        <f t="shared" si="13"/>
        <v>11</v>
      </c>
      <c r="K51" s="518">
        <f t="shared" si="14"/>
        <v>4</v>
      </c>
      <c r="L51" s="518">
        <f t="shared" si="15"/>
        <v>15</v>
      </c>
      <c r="M51" s="519"/>
      <c r="N51" s="520"/>
      <c r="O51" s="449"/>
    </row>
    <row r="52" spans="2:15" ht="14.65" collapsed="1" thickBot="1">
      <c r="B52" s="219" t="s">
        <v>1370</v>
      </c>
      <c r="C52" s="15" t="s">
        <v>1332</v>
      </c>
      <c r="D52" s="184">
        <f>E52*(1+$E$8)</f>
        <v>25300.000000000004</v>
      </c>
      <c r="E52" s="184">
        <v>23000</v>
      </c>
      <c r="F52" s="174">
        <f>H55</f>
        <v>8286.470386052988</v>
      </c>
      <c r="G52" s="488">
        <f>I55</f>
        <v>8356.470386052988</v>
      </c>
      <c r="H52" s="500">
        <f>F52/E52</f>
        <v>0.36028132113273859</v>
      </c>
      <c r="I52" s="500">
        <f>G52/E52</f>
        <v>0.36332479939360818</v>
      </c>
      <c r="J52" s="491">
        <f>VLOOKUP(B52,'SALES MIX'!B14:J104,4)</f>
        <v>30</v>
      </c>
      <c r="K52" s="501">
        <f>VLOOKUP(B52,'SALES MIX'!B14:J104,5)</f>
        <v>22</v>
      </c>
      <c r="L52" s="221">
        <f>((F52*J52)+(G52*K52))/((J52+K52)*E52)</f>
        <v>0.3615689465507988</v>
      </c>
      <c r="M52" s="493"/>
      <c r="N52" s="493"/>
      <c r="O52" s="449"/>
    </row>
    <row r="53" spans="2:15" ht="14.65" customHeight="1" outlineLevel="1" thickTop="1">
      <c r="B53" s="913" t="s">
        <v>1304</v>
      </c>
      <c r="C53" s="914" t="s">
        <v>1305</v>
      </c>
      <c r="D53" s="915" t="s">
        <v>1306</v>
      </c>
      <c r="E53" s="915" t="s">
        <v>60</v>
      </c>
      <c r="F53" s="915" t="s">
        <v>1307</v>
      </c>
      <c r="G53" s="915" t="s">
        <v>1315</v>
      </c>
      <c r="H53" s="907" t="s">
        <v>1312</v>
      </c>
      <c r="I53" s="907"/>
      <c r="J53" s="907" t="s">
        <v>1319</v>
      </c>
      <c r="K53" s="907"/>
      <c r="L53" s="908" t="s">
        <v>1313</v>
      </c>
      <c r="M53" s="907" t="s">
        <v>1317</v>
      </c>
      <c r="N53" s="917"/>
      <c r="O53" s="449"/>
    </row>
    <row r="54" spans="2:15" ht="14.65" customHeight="1" outlineLevel="1" thickBot="1">
      <c r="B54" s="894"/>
      <c r="C54" s="896"/>
      <c r="D54" s="898"/>
      <c r="E54" s="898"/>
      <c r="F54" s="898"/>
      <c r="G54" s="898"/>
      <c r="H54" s="502" t="s">
        <v>1309</v>
      </c>
      <c r="I54" s="502" t="s">
        <v>1308</v>
      </c>
      <c r="J54" s="502" t="s">
        <v>1309</v>
      </c>
      <c r="K54" s="502" t="s">
        <v>1308</v>
      </c>
      <c r="L54" s="901"/>
      <c r="M54" s="903"/>
      <c r="N54" s="904"/>
      <c r="O54" s="449"/>
    </row>
    <row r="55" spans="2:15" ht="14.25" customHeight="1" outlineLevel="1">
      <c r="B55" s="504" t="s">
        <v>1331</v>
      </c>
      <c r="C55" s="15" t="str">
        <f>IFERROR(VLOOKUP(B55,MasterSheet!$B$6:$N$150,3,),"n/a")</f>
        <v>Injected Whole Chicken (1.25kg)</v>
      </c>
      <c r="D55" s="499">
        <f>1250/9</f>
        <v>138.88888888888889</v>
      </c>
      <c r="E55" s="505" t="str">
        <f>IFERROR(VLOOKUP(B55,[4]MasterSheet!B44:N181,10,),"N/a")</f>
        <v>g</v>
      </c>
      <c r="F55" s="506">
        <f>IFERROR(VLOOKUP(B55,MasterSheet!$B$6:$N$150,11,),"N/a")</f>
        <v>34.314223999999996</v>
      </c>
      <c r="G55" s="488">
        <f t="shared" ref="G55:G61" si="16">IFERROR(D55*F55,"_")</f>
        <v>4765.8644444444435</v>
      </c>
      <c r="H55" s="905">
        <f>SUM(G55:G60)</f>
        <v>8286.470386052988</v>
      </c>
      <c r="I55" s="905">
        <f>SUM(G55:G59,G61)</f>
        <v>8356.470386052988</v>
      </c>
      <c r="J55" s="491">
        <f>D55*$J$52</f>
        <v>4166.666666666667</v>
      </c>
      <c r="K55" s="501">
        <f>D55*$K$52</f>
        <v>3055.5555555555557</v>
      </c>
      <c r="L55" s="501">
        <f>SUM(J55:K55)</f>
        <v>7222.2222222222226</v>
      </c>
      <c r="M55" s="493"/>
      <c r="N55" s="507"/>
      <c r="O55" s="449"/>
    </row>
    <row r="56" spans="2:15" ht="14.25" customHeight="1" outlineLevel="1">
      <c r="B56" s="508" t="s">
        <v>1327</v>
      </c>
      <c r="C56" s="15" t="str">
        <f>IFERROR(VLOOKUP(B56,MasterSheet!$B$6:$N$150,3,),"n/a")</f>
        <v>Palm Oil</v>
      </c>
      <c r="D56" s="499">
        <f>D55*10%</f>
        <v>13.888888888888889</v>
      </c>
      <c r="E56" s="505" t="str">
        <f>IFERROR(VLOOKUP(B56,[4]MasterSheet!$B$6:$N$144,10,),"N/a")</f>
        <v>g</v>
      </c>
      <c r="F56" s="506">
        <f>IFERROR(VLOOKUP(B56,MasterSheet!$B$6:$N$150,11,),"N/a")</f>
        <v>25.580404040404041</v>
      </c>
      <c r="G56" s="488">
        <f t="shared" si="16"/>
        <v>355.28338945005612</v>
      </c>
      <c r="H56" s="905"/>
      <c r="I56" s="905"/>
      <c r="J56" s="491">
        <f t="shared" ref="J56:J61" si="17">D56*$J$52</f>
        <v>416.66666666666669</v>
      </c>
      <c r="K56" s="501">
        <f t="shared" ref="K56:K61" si="18">D56*$K$52</f>
        <v>305.55555555555554</v>
      </c>
      <c r="L56" s="501">
        <f t="shared" ref="L56:L61" si="19">SUM(J56:K56)</f>
        <v>722.22222222222217</v>
      </c>
      <c r="M56" s="493"/>
      <c r="N56" s="507"/>
      <c r="O56" s="449"/>
    </row>
    <row r="57" spans="2:15" ht="14.25" customHeight="1" outlineLevel="1">
      <c r="B57" s="508" t="s">
        <v>1333</v>
      </c>
      <c r="C57" s="15" t="str">
        <f>IFERROR(VLOOKUP(B57,MasterSheet!$B$6:$N$150,3,),"n/a")</f>
        <v>Garlic Flavour Soy Sauce</v>
      </c>
      <c r="D57" s="499">
        <f>D55*11%</f>
        <v>15.277777777777777</v>
      </c>
      <c r="E57" s="505" t="str">
        <f>IFERROR(VLOOKUP(B57,[4]MasterSheet!$B$6:$N$144,10,),"N/a")</f>
        <v>g</v>
      </c>
      <c r="F57" s="506">
        <f>IFERROR(VLOOKUP(B57,MasterSheet!$B$6:$N$150,11,),"N/a")</f>
        <v>112.734375</v>
      </c>
      <c r="G57" s="488">
        <f t="shared" si="16"/>
        <v>1722.3307291666665</v>
      </c>
      <c r="H57" s="905"/>
      <c r="I57" s="905"/>
      <c r="J57" s="491">
        <f t="shared" si="17"/>
        <v>458.33333333333331</v>
      </c>
      <c r="K57" s="501">
        <f t="shared" si="18"/>
        <v>336.11111111111109</v>
      </c>
      <c r="L57" s="501">
        <f t="shared" si="19"/>
        <v>794.44444444444434</v>
      </c>
      <c r="M57" s="493"/>
      <c r="N57" s="507"/>
      <c r="O57" s="449"/>
    </row>
    <row r="58" spans="2:15" ht="14.25" customHeight="1" outlineLevel="1">
      <c r="B58" s="508" t="s">
        <v>1334</v>
      </c>
      <c r="C58" s="15" t="str">
        <f>IFERROR(VLOOKUP(B58,MasterSheet!$B$6:$N$150,3,),"n/a")</f>
        <v>Garlic Chip</v>
      </c>
      <c r="D58" s="499">
        <v>2</v>
      </c>
      <c r="E58" s="505" t="str">
        <f>IFERROR(VLOOKUP(B58,[4]MasterSheet!B46:N184,10,),"N/a")</f>
        <v>g</v>
      </c>
      <c r="F58" s="506">
        <f>IFERROR(VLOOKUP(B58,MasterSheet!$B$6:$N$150,11,),"N/a")</f>
        <v>90.808080808080817</v>
      </c>
      <c r="G58" s="488">
        <f t="shared" si="16"/>
        <v>181.61616161616163</v>
      </c>
      <c r="H58" s="905"/>
      <c r="I58" s="905"/>
      <c r="J58" s="491">
        <f t="shared" si="17"/>
        <v>60</v>
      </c>
      <c r="K58" s="501">
        <f t="shared" si="18"/>
        <v>44</v>
      </c>
      <c r="L58" s="501">
        <f t="shared" si="19"/>
        <v>104</v>
      </c>
      <c r="M58" s="493"/>
      <c r="N58" s="507"/>
      <c r="O58" s="449"/>
    </row>
    <row r="59" spans="2:15" ht="14.25" customHeight="1" outlineLevel="1">
      <c r="B59" s="509" t="s">
        <v>1328</v>
      </c>
      <c r="C59" s="15" t="str">
        <f>VLOOKUP(B59,CK!$B$8:$L$87,4,)</f>
        <v>Battering Powder Mix C Solution(Yellow)</v>
      </c>
      <c r="D59" s="510">
        <f>D55*0.2</f>
        <v>27.777777777777779</v>
      </c>
      <c r="E59" s="505" t="str">
        <f>VLOOKUP(B59,[4]CK!$B$8:$L$87,9,)</f>
        <v>g</v>
      </c>
      <c r="F59" s="506">
        <f>VLOOKUP(B59,CK!$B$8:$L$87,10,)</f>
        <v>23.80952380952381</v>
      </c>
      <c r="G59" s="488">
        <f t="shared" si="16"/>
        <v>661.37566137566137</v>
      </c>
      <c r="H59" s="905"/>
      <c r="I59" s="905"/>
      <c r="J59" s="491">
        <f t="shared" si="17"/>
        <v>833.33333333333337</v>
      </c>
      <c r="K59" s="501">
        <f t="shared" si="18"/>
        <v>611.11111111111109</v>
      </c>
      <c r="L59" s="501">
        <f t="shared" si="19"/>
        <v>1444.4444444444443</v>
      </c>
      <c r="M59" s="493"/>
      <c r="N59" s="507"/>
      <c r="O59" s="449"/>
    </row>
    <row r="60" spans="2:15" ht="14.25" customHeight="1" outlineLevel="1">
      <c r="B60" s="675" t="s">
        <v>1778</v>
      </c>
      <c r="C60" s="15" t="str">
        <f>IFERROR(VLOOKUP(B60,MasterSheet!$B$6:$N$421,3,),"n/a")</f>
        <v>BB.Q Papertray</v>
      </c>
      <c r="D60" s="510">
        <v>1</v>
      </c>
      <c r="E60" s="505" t="str">
        <f>IFERROR(VLOOKUP(B60,[4]MasterSheet!B50:N456,10,),"N/a")</f>
        <v>ea</v>
      </c>
      <c r="F60" s="506">
        <f>IFERROR(VLOOKUP(B60,MasterSheet!$B$6:$N$421,11,),"N/a")</f>
        <v>600</v>
      </c>
      <c r="G60" s="488">
        <f t="shared" si="16"/>
        <v>600</v>
      </c>
      <c r="H60" s="905"/>
      <c r="I60" s="905"/>
      <c r="J60" s="491"/>
      <c r="K60" s="501"/>
      <c r="L60" s="501"/>
      <c r="M60" s="493"/>
      <c r="N60" s="507"/>
      <c r="O60" s="449"/>
    </row>
    <row r="61" spans="2:15" ht="14.65" customHeight="1" outlineLevel="1" thickBot="1">
      <c r="B61" s="511" t="s">
        <v>1322</v>
      </c>
      <c r="C61" s="512" t="str">
        <f>IFERROR(VLOOKUP(B61,MasterSheet!$B$6:$N$421,3,),"n/a")</f>
        <v>BB.Q CHAMSHELL BOX</v>
      </c>
      <c r="D61" s="513">
        <v>1</v>
      </c>
      <c r="E61" s="514" t="str">
        <f>IFERROR(VLOOKUP(B61,[4]MasterSheet!B46:N453,10,),"N/a")</f>
        <v>ea</v>
      </c>
      <c r="F61" s="515">
        <f>IFERROR(VLOOKUP(B61,MasterSheet!$B$6:$N$421,11,),"N/a")</f>
        <v>670</v>
      </c>
      <c r="G61" s="516">
        <f t="shared" si="16"/>
        <v>670</v>
      </c>
      <c r="H61" s="916"/>
      <c r="I61" s="916"/>
      <c r="J61" s="517">
        <f t="shared" si="17"/>
        <v>30</v>
      </c>
      <c r="K61" s="518">
        <f t="shared" si="18"/>
        <v>22</v>
      </c>
      <c r="L61" s="518">
        <f t="shared" si="19"/>
        <v>52</v>
      </c>
      <c r="M61" s="519"/>
      <c r="N61" s="520"/>
      <c r="O61" s="449"/>
    </row>
    <row r="62" spans="2:15" ht="15" thickTop="1" thickBot="1">
      <c r="B62" s="219" t="s">
        <v>1371</v>
      </c>
      <c r="C62" s="15" t="s">
        <v>1351</v>
      </c>
      <c r="D62" s="184">
        <f>E62*(1+$E$8)</f>
        <v>25300.000000000004</v>
      </c>
      <c r="E62" s="184">
        <v>23000</v>
      </c>
      <c r="F62" s="174">
        <f>H65</f>
        <v>8339.0655807355597</v>
      </c>
      <c r="G62" s="488">
        <f>I65</f>
        <v>8409.0655807355597</v>
      </c>
      <c r="H62" s="500">
        <f>F62/E62</f>
        <v>0.36256806872763303</v>
      </c>
      <c r="I62" s="500">
        <f>G62/E62</f>
        <v>0.36561154698850262</v>
      </c>
      <c r="J62" s="491">
        <f>VLOOKUP(B62,'SALES MIX'!B14:J104,4)</f>
        <v>0</v>
      </c>
      <c r="K62" s="501">
        <f>VLOOKUP(B62,'SALES MIX'!B14:J104,5)</f>
        <v>0</v>
      </c>
      <c r="L62" s="221" t="e">
        <f>((F62*J62)+(G62*K62))/((J62+K62)*E62)</f>
        <v>#DIV/0!</v>
      </c>
      <c r="M62" s="493"/>
      <c r="N62" s="493"/>
      <c r="O62" s="449"/>
    </row>
    <row r="63" spans="2:15" ht="14.65" customHeight="1" outlineLevel="1" thickTop="1">
      <c r="B63" s="913" t="s">
        <v>1304</v>
      </c>
      <c r="C63" s="914" t="s">
        <v>1305</v>
      </c>
      <c r="D63" s="915" t="s">
        <v>1306</v>
      </c>
      <c r="E63" s="915" t="s">
        <v>60</v>
      </c>
      <c r="F63" s="915" t="s">
        <v>1307</v>
      </c>
      <c r="G63" s="915" t="s">
        <v>1315</v>
      </c>
      <c r="H63" s="907" t="s">
        <v>1312</v>
      </c>
      <c r="I63" s="907"/>
      <c r="J63" s="907" t="s">
        <v>1319</v>
      </c>
      <c r="K63" s="907"/>
      <c r="L63" s="908" t="s">
        <v>1313</v>
      </c>
      <c r="M63" s="907" t="s">
        <v>1317</v>
      </c>
      <c r="N63" s="917"/>
      <c r="O63" s="449"/>
    </row>
    <row r="64" spans="2:15" ht="14.65" customHeight="1" outlineLevel="1" thickBot="1">
      <c r="B64" s="894"/>
      <c r="C64" s="896"/>
      <c r="D64" s="898"/>
      <c r="E64" s="898"/>
      <c r="F64" s="898"/>
      <c r="G64" s="898"/>
      <c r="H64" s="502" t="s">
        <v>1309</v>
      </c>
      <c r="I64" s="502" t="s">
        <v>1308</v>
      </c>
      <c r="J64" s="502" t="s">
        <v>1309</v>
      </c>
      <c r="K64" s="502" t="s">
        <v>1308</v>
      </c>
      <c r="L64" s="901"/>
      <c r="M64" s="903"/>
      <c r="N64" s="904"/>
      <c r="O64" s="449"/>
    </row>
    <row r="65" spans="2:15" ht="14.25" customHeight="1" outlineLevel="1">
      <c r="B65" s="504" t="s">
        <v>1331</v>
      </c>
      <c r="C65" s="15" t="str">
        <f>IFERROR(VLOOKUP(B65,MasterSheet!$B$6:$N$150,3,),"n/a")</f>
        <v>Injected Whole Chicken (1.25kg)</v>
      </c>
      <c r="D65" s="499">
        <f>1250/9</f>
        <v>138.88888888888889</v>
      </c>
      <c r="E65" s="505" t="str">
        <f>IFERROR(VLOOKUP(B65,[4]MasterSheet!B48:N190,10,),"N/a")</f>
        <v>g</v>
      </c>
      <c r="F65" s="506">
        <f>IFERROR(VLOOKUP(B65,MasterSheet!$B$6:$N$150,11,),"N/a")</f>
        <v>34.314223999999996</v>
      </c>
      <c r="G65" s="488">
        <f t="shared" ref="G65:G71" si="20">IFERROR(D65*F65,"_")</f>
        <v>4765.8644444444435</v>
      </c>
      <c r="H65" s="905">
        <f>SUM(G65:G70)</f>
        <v>8339.0655807355597</v>
      </c>
      <c r="I65" s="905">
        <f>SUM(G65:G69,G71)</f>
        <v>8409.0655807355597</v>
      </c>
      <c r="J65" s="491">
        <f>D65*$J$62</f>
        <v>0</v>
      </c>
      <c r="K65" s="501">
        <f>D65*$K$62</f>
        <v>0</v>
      </c>
      <c r="L65" s="501">
        <f>SUM(J65:K65)</f>
        <v>0</v>
      </c>
      <c r="M65" s="493"/>
      <c r="N65" s="507"/>
      <c r="O65" s="449"/>
    </row>
    <row r="66" spans="2:15" ht="14.25" customHeight="1" outlineLevel="1">
      <c r="B66" s="508" t="s">
        <v>1327</v>
      </c>
      <c r="C66" s="15" t="str">
        <f>IFERROR(VLOOKUP(B66,MasterSheet!$B$6:$N$150,3,),"n/a")</f>
        <v>Palm Oil</v>
      </c>
      <c r="D66" s="499">
        <f>D65*10%</f>
        <v>13.888888888888889</v>
      </c>
      <c r="E66" s="505" t="str">
        <f>IFERROR(VLOOKUP(B66,[4]MasterSheet!$B$6:$N$144,10,),"N/a")</f>
        <v>g</v>
      </c>
      <c r="F66" s="506">
        <f>IFERROR(VLOOKUP(B66,MasterSheet!$B$6:$N$150,11,),"N/a")</f>
        <v>25.580404040404041</v>
      </c>
      <c r="G66" s="488">
        <f t="shared" si="20"/>
        <v>355.28338945005612</v>
      </c>
      <c r="H66" s="905"/>
      <c r="I66" s="905"/>
      <c r="J66" s="491">
        <f>D66*$J$62</f>
        <v>0</v>
      </c>
      <c r="K66" s="501">
        <f>D66*$K$62</f>
        <v>0</v>
      </c>
      <c r="L66" s="501">
        <f t="shared" ref="L66:L71" si="21">SUM(J66:K66)</f>
        <v>0</v>
      </c>
      <c r="M66" s="493"/>
      <c r="N66" s="507"/>
      <c r="O66" s="449"/>
    </row>
    <row r="67" spans="2:15" ht="14.25" customHeight="1" outlineLevel="1">
      <c r="B67" s="508" t="s">
        <v>64</v>
      </c>
      <c r="C67" s="15" t="str">
        <f>IFERROR(VLOOKUP(B67,MasterSheet!$B$6:$N$150,3,),"n/a")</f>
        <v>Honey pepper Sauce</v>
      </c>
      <c r="D67" s="499">
        <f>D65*11%</f>
        <v>15.277777777777777</v>
      </c>
      <c r="E67" s="505" t="str">
        <f>IFERROR(VLOOKUP(B67,[4]MasterSheet!$B$6:$N$144,10,),"N/a")</f>
        <v>g</v>
      </c>
      <c r="F67" s="506">
        <f>IFERROR(VLOOKUP(B67,MasterSheet!$B$6:$N$150,11,),"N/a")</f>
        <v>118.99739583333333</v>
      </c>
      <c r="G67" s="488">
        <f t="shared" si="20"/>
        <v>1818.0157696759256</v>
      </c>
      <c r="H67" s="905"/>
      <c r="I67" s="905"/>
      <c r="J67" s="491">
        <f>D67*$J$62</f>
        <v>0</v>
      </c>
      <c r="K67" s="501">
        <f>D67*$K$62</f>
        <v>0</v>
      </c>
      <c r="L67" s="501">
        <f t="shared" si="21"/>
        <v>0</v>
      </c>
      <c r="M67" s="493"/>
      <c r="N67" s="507"/>
      <c r="O67" s="449"/>
    </row>
    <row r="68" spans="2:15" ht="14.25" customHeight="1" outlineLevel="1">
      <c r="B68" s="508" t="s">
        <v>767</v>
      </c>
      <c r="C68" s="15" t="str">
        <f>IFERROR(VLOOKUP(B68,MasterSheet!$B$6:$N$150,3,),"n/a")</f>
        <v>Scallion(Green Onion)</v>
      </c>
      <c r="D68" s="499">
        <v>5</v>
      </c>
      <c r="E68" s="505" t="str">
        <f>IFERROR(VLOOKUP(B68,[4]MasterSheet!B49:N193,10,),"N/a")</f>
        <v>g</v>
      </c>
      <c r="F68" s="506">
        <f>IFERROR(VLOOKUP(B68,MasterSheet!$B$6:$N$150,11,),"N/a")</f>
        <v>27.705263157894738</v>
      </c>
      <c r="G68" s="488">
        <f t="shared" si="20"/>
        <v>138.5263157894737</v>
      </c>
      <c r="H68" s="905"/>
      <c r="I68" s="905"/>
      <c r="J68" s="491">
        <f>D68*$J$62</f>
        <v>0</v>
      </c>
      <c r="K68" s="501">
        <f>D68*$K$62</f>
        <v>0</v>
      </c>
      <c r="L68" s="501">
        <f t="shared" si="21"/>
        <v>0</v>
      </c>
      <c r="M68" s="493"/>
      <c r="N68" s="507"/>
      <c r="O68" s="449"/>
    </row>
    <row r="69" spans="2:15" ht="14.25" customHeight="1" outlineLevel="1">
      <c r="B69" s="509" t="s">
        <v>1328</v>
      </c>
      <c r="C69" s="15" t="str">
        <f>VLOOKUP(B69,CK!$B$8:$L$87,4,)</f>
        <v>Battering Powder Mix C Solution(Yellow)</v>
      </c>
      <c r="D69" s="510">
        <f>D65*0.2</f>
        <v>27.777777777777779</v>
      </c>
      <c r="E69" s="505" t="str">
        <f>VLOOKUP(B69,[4]CK!$B$8:$L$87,9,)</f>
        <v>g</v>
      </c>
      <c r="F69" s="506">
        <f>VLOOKUP(B69,CK!$B$8:$L$87,10,)</f>
        <v>23.80952380952381</v>
      </c>
      <c r="G69" s="488">
        <f t="shared" si="20"/>
        <v>661.37566137566137</v>
      </c>
      <c r="H69" s="905"/>
      <c r="I69" s="905"/>
      <c r="J69" s="491">
        <f>D69*$J$62</f>
        <v>0</v>
      </c>
      <c r="K69" s="501">
        <f>D69*$K$62</f>
        <v>0</v>
      </c>
      <c r="L69" s="501">
        <f t="shared" si="21"/>
        <v>0</v>
      </c>
      <c r="M69" s="493"/>
      <c r="N69" s="507"/>
      <c r="O69" s="449"/>
    </row>
    <row r="70" spans="2:15" ht="14.25" customHeight="1" outlineLevel="1">
      <c r="B70" s="675" t="s">
        <v>1778</v>
      </c>
      <c r="C70" s="15" t="str">
        <f>IFERROR(VLOOKUP(B70,MasterSheet!$B$6:$N$421,3,),"n/a")</f>
        <v>BB.Q Papertray</v>
      </c>
      <c r="D70" s="510">
        <v>1</v>
      </c>
      <c r="E70" s="505" t="str">
        <f>IFERROR(VLOOKUP(B70,[4]MasterSheet!B60:N466,10,),"N/a")</f>
        <v>ea</v>
      </c>
      <c r="F70" s="506">
        <f>IFERROR(VLOOKUP(B70,MasterSheet!$B$6:$N$421,11,),"N/a")</f>
        <v>600</v>
      </c>
      <c r="G70" s="488">
        <f t="shared" si="20"/>
        <v>600</v>
      </c>
      <c r="H70" s="905"/>
      <c r="I70" s="905"/>
      <c r="J70" s="491"/>
      <c r="K70" s="501"/>
      <c r="L70" s="501"/>
      <c r="M70" s="493"/>
      <c r="N70" s="507"/>
      <c r="O70" s="449"/>
    </row>
    <row r="71" spans="2:15" ht="14.65" customHeight="1" outlineLevel="1" thickBot="1">
      <c r="B71" s="511" t="s">
        <v>1322</v>
      </c>
      <c r="C71" s="512" t="str">
        <f>IFERROR(VLOOKUP(B71,MasterSheet!$B$6:$N$421,3,),"n/a")</f>
        <v>BB.Q CHAMSHELL BOX</v>
      </c>
      <c r="D71" s="513">
        <v>1</v>
      </c>
      <c r="E71" s="514" t="str">
        <f>IFERROR(VLOOKUP(B71,[4]MasterSheet!B49:N462,10,),"N/a")</f>
        <v>ea</v>
      </c>
      <c r="F71" s="515">
        <f>IFERROR(VLOOKUP(B71,MasterSheet!$B$6:$N$421,11,),"N/a")</f>
        <v>670</v>
      </c>
      <c r="G71" s="516">
        <f t="shared" si="20"/>
        <v>670</v>
      </c>
      <c r="H71" s="916"/>
      <c r="I71" s="916"/>
      <c r="J71" s="517">
        <f>D71*$J$62</f>
        <v>0</v>
      </c>
      <c r="K71" s="518">
        <f>D71*$K$62</f>
        <v>0</v>
      </c>
      <c r="L71" s="518">
        <f t="shared" si="21"/>
        <v>0</v>
      </c>
      <c r="M71" s="519"/>
      <c r="N71" s="520"/>
      <c r="O71" s="449"/>
    </row>
    <row r="72" spans="2:15" ht="14.65" customHeight="1" thickTop="1">
      <c r="B72" s="219" t="s">
        <v>2094</v>
      </c>
      <c r="C72" s="15" t="s">
        <v>2093</v>
      </c>
      <c r="D72" s="184">
        <f>E72*(1+$E$8)</f>
        <v>25300.000000000004</v>
      </c>
      <c r="E72" s="184">
        <v>23000</v>
      </c>
      <c r="F72" s="174">
        <f>H75</f>
        <v>8728.0543377957238</v>
      </c>
      <c r="G72" s="488">
        <f>I75</f>
        <v>9367.8243377957242</v>
      </c>
      <c r="H72" s="500">
        <f>F72/E72</f>
        <v>0.37948062338242278</v>
      </c>
      <c r="I72" s="500">
        <f>G72/E72</f>
        <v>0.40729671033894455</v>
      </c>
      <c r="J72" s="491">
        <f>VLOOKUP(B72,'SALES MIX'!B24:J114,4)</f>
        <v>0</v>
      </c>
      <c r="K72" s="501">
        <f>VLOOKUP(B72,'SALES MIX'!B24:J114,5)</f>
        <v>0</v>
      </c>
      <c r="L72" s="221" t="e">
        <f>((F72*J72)+(G72*K72))/((J72+K72)*E72)</f>
        <v>#DIV/0!</v>
      </c>
      <c r="M72" s="493"/>
      <c r="N72" s="507"/>
      <c r="O72" s="449"/>
    </row>
    <row r="73" spans="2:15" ht="14.65" customHeight="1" outlineLevel="1">
      <c r="B73" s="893" t="s">
        <v>2092</v>
      </c>
      <c r="C73" s="895" t="s">
        <v>1305</v>
      </c>
      <c r="D73" s="897" t="s">
        <v>1306</v>
      </c>
      <c r="E73" s="897" t="s">
        <v>60</v>
      </c>
      <c r="F73" s="897" t="s">
        <v>615</v>
      </c>
      <c r="G73" s="897" t="s">
        <v>755</v>
      </c>
      <c r="H73" s="899" t="s">
        <v>1312</v>
      </c>
      <c r="I73" s="899"/>
      <c r="J73" s="899" t="s">
        <v>1319</v>
      </c>
      <c r="K73" s="899"/>
      <c r="L73" s="900" t="s">
        <v>1313</v>
      </c>
      <c r="M73" s="899" t="s">
        <v>912</v>
      </c>
      <c r="N73" s="902"/>
      <c r="O73" s="449"/>
    </row>
    <row r="74" spans="2:15" ht="14.65" customHeight="1" outlineLevel="1" thickBot="1">
      <c r="B74" s="894"/>
      <c r="C74" s="896"/>
      <c r="D74" s="898"/>
      <c r="E74" s="898"/>
      <c r="F74" s="898"/>
      <c r="G74" s="898"/>
      <c r="H74" s="502" t="s">
        <v>1309</v>
      </c>
      <c r="I74" s="502" t="s">
        <v>1308</v>
      </c>
      <c r="J74" s="502" t="s">
        <v>1309</v>
      </c>
      <c r="K74" s="502" t="s">
        <v>1308</v>
      </c>
      <c r="L74" s="901"/>
      <c r="M74" s="903"/>
      <c r="N74" s="904"/>
      <c r="O74" s="449"/>
    </row>
    <row r="75" spans="2:15" ht="14.65" customHeight="1" outlineLevel="1">
      <c r="B75" s="504" t="s">
        <v>631</v>
      </c>
      <c r="C75" s="15" t="str">
        <f>IFERROR(VLOOKUP(B75,MasterSheet!$B$6:$N$150,3,),"n/a")</f>
        <v>Injected Whole Chicken (1.25kg)</v>
      </c>
      <c r="D75" s="499">
        <f>1250/9</f>
        <v>138.88888888888889</v>
      </c>
      <c r="E75" s="505" t="str">
        <f>IFERROR(VLOOKUP(B75,[4]MasterSheet!$B$6:$N$144,10,),"N/a")</f>
        <v>g</v>
      </c>
      <c r="F75" s="506">
        <f>IFERROR(VLOOKUP(B75,MasterSheet!$B$6:$N$150,11,),"N/a")</f>
        <v>34.314223999999996</v>
      </c>
      <c r="G75" s="488">
        <f t="shared" ref="G75:G82" si="22">IFERROR(D75*F75,"_")</f>
        <v>4765.8644444444435</v>
      </c>
      <c r="H75" s="905">
        <f>SUM(G75:G80)</f>
        <v>8728.0543377957238</v>
      </c>
      <c r="I75" s="905">
        <f>SUM(G75:G79,G82)</f>
        <v>9367.8243377957242</v>
      </c>
      <c r="J75" s="491">
        <f>D75*$J$62</f>
        <v>0</v>
      </c>
      <c r="K75" s="501">
        <f>D75*$K$62</f>
        <v>0</v>
      </c>
      <c r="L75" s="501">
        <f>SUM(J75:K75)</f>
        <v>0</v>
      </c>
      <c r="M75" s="493"/>
      <c r="N75" s="507"/>
      <c r="O75" s="449"/>
    </row>
    <row r="76" spans="2:15" ht="14.65" customHeight="1" outlineLevel="1">
      <c r="B76" s="508" t="s">
        <v>757</v>
      </c>
      <c r="C76" s="15" t="str">
        <f>IFERROR(VLOOKUP(B76,MasterSheet!$B$6:$N$150,3,),"n/a")</f>
        <v xml:space="preserve">Marinade Powder Mix </v>
      </c>
      <c r="D76" s="499">
        <f>D75*10%</f>
        <v>13.888888888888889</v>
      </c>
      <c r="E76" s="505" t="str">
        <f>IFERROR(VLOOKUP(B76,[4]MasterSheet!$B$6:$N$144,10,),"N/a")</f>
        <v>g</v>
      </c>
      <c r="F76" s="506">
        <f>IFERROR(VLOOKUP(B76,MasterSheet!$B$6:$N$150,11,),"N/a")</f>
        <v>117.51275510204081</v>
      </c>
      <c r="G76" s="488">
        <f t="shared" si="22"/>
        <v>1632.1215986394559</v>
      </c>
      <c r="H76" s="905"/>
      <c r="I76" s="905"/>
      <c r="J76" s="491">
        <f>D76*$J$62</f>
        <v>0</v>
      </c>
      <c r="K76" s="501">
        <f>D76*$K$62</f>
        <v>0</v>
      </c>
      <c r="L76" s="501">
        <f t="shared" ref="L76:L81" si="23">SUM(J76:K76)</f>
        <v>0</v>
      </c>
      <c r="M76" s="493"/>
      <c r="N76" s="507"/>
      <c r="O76" s="449"/>
    </row>
    <row r="77" spans="2:15" ht="14.65" customHeight="1" outlineLevel="1">
      <c r="B77" s="508" t="s">
        <v>4</v>
      </c>
      <c r="C77" s="15" t="str">
        <f>IFERROR(VLOOKUP(B77,MasterSheet!$B$6:$N$150,3,),"n/a")</f>
        <v>Battering Powder Mix</v>
      </c>
      <c r="D77" s="499">
        <f>D75*11%</f>
        <v>15.277777777777777</v>
      </c>
      <c r="E77" s="505" t="str">
        <f>IFERROR(VLOOKUP(B77,[4]MasterSheet!$B$6:$N$144,10,),"N/a")</f>
        <v>g</v>
      </c>
      <c r="F77" s="506">
        <f>IFERROR(VLOOKUP(B77,MasterSheet!$B$6:$N$150,11,),"N/a")</f>
        <v>81.617647058823536</v>
      </c>
      <c r="G77" s="488">
        <f t="shared" si="22"/>
        <v>1246.936274509804</v>
      </c>
      <c r="H77" s="905"/>
      <c r="I77" s="905"/>
      <c r="J77" s="491">
        <f>D77*$J$62</f>
        <v>0</v>
      </c>
      <c r="K77" s="501">
        <f>D77*$K$62</f>
        <v>0</v>
      </c>
      <c r="L77" s="501">
        <f t="shared" si="23"/>
        <v>0</v>
      </c>
      <c r="M77" s="493"/>
      <c r="N77" s="507"/>
      <c r="O77" s="449"/>
    </row>
    <row r="78" spans="2:15" ht="14.65" customHeight="1" outlineLevel="1">
      <c r="B78" s="508" t="s">
        <v>999</v>
      </c>
      <c r="C78" s="15" t="str">
        <f>IFERROR(VLOOKUP(B78,MasterSheet!$B$6:$N$150,3,),"n/a")</f>
        <v>Palm Oil</v>
      </c>
      <c r="D78" s="499">
        <v>5</v>
      </c>
      <c r="E78" s="505" t="str">
        <f>IFERROR(VLOOKUP(B78,[4]MasterSheet!B59:N203,10,),"N/a")</f>
        <v>g</v>
      </c>
      <c r="F78" s="506">
        <f>IFERROR(VLOOKUP(B78,MasterSheet!$B$6:$N$150,11,),"N/a")</f>
        <v>25.580404040404041</v>
      </c>
      <c r="G78" s="488">
        <f t="shared" si="22"/>
        <v>127.9020202020202</v>
      </c>
      <c r="H78" s="905"/>
      <c r="I78" s="905"/>
      <c r="J78" s="491">
        <f>D78*$J$62</f>
        <v>0</v>
      </c>
      <c r="K78" s="501">
        <f t="shared" ref="K78:K81" si="24">D78*$K$62</f>
        <v>0</v>
      </c>
      <c r="L78" s="501">
        <f t="shared" si="23"/>
        <v>0</v>
      </c>
      <c r="M78" s="493"/>
      <c r="N78" s="507"/>
      <c r="O78" s="449"/>
    </row>
    <row r="79" spans="2:15" ht="14.65" customHeight="1" outlineLevel="1">
      <c r="B79" s="21" t="s">
        <v>1987</v>
      </c>
      <c r="C79" s="15" t="str">
        <f>IFERROR(VLOOKUP(B79,MasterSheet!$B$6:$N$421,3,),"n/a")</f>
        <v>Buldak Sauce</v>
      </c>
      <c r="D79" s="510">
        <f>D75*0.108</f>
        <v>15</v>
      </c>
      <c r="E79" s="505" t="str">
        <f>IFERROR(VLOOKUP(B79,[4]MasterSheet!$B$6:$N$144,10,),"N/a")</f>
        <v>g</v>
      </c>
      <c r="F79" s="506">
        <f>IFERROR(VLOOKUP(B79,MasterSheet!$B$6:$N$150,11,),"N/a")</f>
        <v>61.666666666666664</v>
      </c>
      <c r="G79" s="488">
        <f t="shared" si="22"/>
        <v>925</v>
      </c>
      <c r="H79" s="905"/>
      <c r="I79" s="905"/>
      <c r="J79" s="491">
        <f t="shared" ref="J79:J81" si="25">D79*$J$62</f>
        <v>0</v>
      </c>
      <c r="K79" s="501">
        <f t="shared" si="24"/>
        <v>0</v>
      </c>
      <c r="L79" s="501">
        <f t="shared" si="23"/>
        <v>0</v>
      </c>
      <c r="M79" s="493"/>
      <c r="N79" s="507"/>
      <c r="O79" s="449"/>
    </row>
    <row r="80" spans="2:15" ht="14.65" customHeight="1" outlineLevel="1">
      <c r="B80" s="509" t="s">
        <v>567</v>
      </c>
      <c r="C80" s="15" t="str">
        <f>IFERROR(VLOOKUP(B80,MasterSheet!$B$6:$N$421,3,),"n/a")</f>
        <v>n/a</v>
      </c>
      <c r="D80" s="510">
        <v>1</v>
      </c>
      <c r="E80" s="505" t="str">
        <f>IFERROR(VLOOKUP(B80,[4]MasterSheet!B70:N476,10,),"N/a")</f>
        <v>N/a</v>
      </c>
      <c r="F80" s="506">
        <f>VLOOKUP(B80,CK!$B$8:$L$87,10,)</f>
        <v>30.23</v>
      </c>
      <c r="G80" s="488">
        <f t="shared" si="22"/>
        <v>30.23</v>
      </c>
      <c r="H80" s="905"/>
      <c r="I80" s="905"/>
      <c r="J80" s="491">
        <f t="shared" si="25"/>
        <v>0</v>
      </c>
      <c r="K80" s="501">
        <f t="shared" si="24"/>
        <v>0</v>
      </c>
      <c r="L80" s="501">
        <f t="shared" si="23"/>
        <v>0</v>
      </c>
      <c r="M80" s="493"/>
      <c r="N80" s="507"/>
      <c r="O80" s="449"/>
    </row>
    <row r="81" spans="2:15" ht="14.65" customHeight="1" outlineLevel="1">
      <c r="B81" s="675" t="s">
        <v>1341</v>
      </c>
      <c r="C81" s="15" t="str">
        <f>IFERROR(VLOOKUP(B81,MasterSheet!$B$6:$N$421,3,),"n/a")</f>
        <v>BB.Q Papertray</v>
      </c>
      <c r="D81" s="510">
        <v>1</v>
      </c>
      <c r="E81" s="505" t="str">
        <f>IFERROR(VLOOKUP(B81,[4]MasterSheet!B71:N477,10,),"N/a")</f>
        <v>ea</v>
      </c>
      <c r="F81" s="506" t="e">
        <f>VLOOKUP(B81,CK!$B$8:$L$87,10,)</f>
        <v>#N/A</v>
      </c>
      <c r="G81" s="488" t="str">
        <f t="shared" si="22"/>
        <v>_</v>
      </c>
      <c r="H81" s="905"/>
      <c r="I81" s="905"/>
      <c r="J81" s="491">
        <f t="shared" si="25"/>
        <v>0</v>
      </c>
      <c r="K81" s="501">
        <f t="shared" si="24"/>
        <v>0</v>
      </c>
      <c r="L81" s="501">
        <f t="shared" si="23"/>
        <v>0</v>
      </c>
      <c r="M81" s="493"/>
      <c r="N81" s="507"/>
      <c r="O81" s="449"/>
    </row>
    <row r="82" spans="2:15" ht="14.65" customHeight="1" outlineLevel="1" thickBot="1">
      <c r="B82" s="833" t="s">
        <v>1322</v>
      </c>
      <c r="C82" s="28" t="str">
        <f>IFERROR(VLOOKUP(B82,MasterSheet!$B$6:$N$421,3,),"n/a")</f>
        <v>BB.Q CHAMSHELL BOX</v>
      </c>
      <c r="D82" s="533">
        <v>1</v>
      </c>
      <c r="E82" s="534" t="str">
        <f>IFERROR(VLOOKUP(B82,[4]MasterSheet!B72:N478,10,),"N/a")</f>
        <v>ea</v>
      </c>
      <c r="F82" s="535">
        <f>IFERROR(VLOOKUP(B82,MasterSheet!$B$6:$N$421,11,),"N/a")</f>
        <v>670</v>
      </c>
      <c r="G82" s="536">
        <f t="shared" si="22"/>
        <v>670</v>
      </c>
      <c r="H82" s="906"/>
      <c r="I82" s="906"/>
      <c r="J82" s="528">
        <f>D82*$J$62</f>
        <v>0</v>
      </c>
      <c r="K82" s="529">
        <f>D82*$K$62</f>
        <v>0</v>
      </c>
      <c r="L82" s="529">
        <f t="shared" ref="L82" si="26">SUM(J82:K82)</f>
        <v>0</v>
      </c>
      <c r="M82" s="530"/>
      <c r="N82" s="531"/>
      <c r="O82" s="449"/>
    </row>
    <row r="83" spans="2:15" ht="14.65" thickTop="1">
      <c r="B83" s="219" t="s">
        <v>1372</v>
      </c>
      <c r="C83" s="15" t="s">
        <v>1350</v>
      </c>
      <c r="D83" s="184">
        <f>E83*(1+$E$8)</f>
        <v>82500</v>
      </c>
      <c r="E83" s="184">
        <v>75000</v>
      </c>
      <c r="F83" s="174">
        <f>H86</f>
        <v>33378.397611421664</v>
      </c>
      <c r="G83" s="488">
        <f>I86</f>
        <v>34578.397611421671</v>
      </c>
      <c r="H83" s="500">
        <f>F83/E83</f>
        <v>0.44504530148562216</v>
      </c>
      <c r="I83" s="500">
        <f>G83/E83</f>
        <v>0.46104530148562228</v>
      </c>
      <c r="J83" s="491">
        <f>VLOOKUP(B83,'SALES MIX'!B14:J104,4)</f>
        <v>13</v>
      </c>
      <c r="K83" s="501">
        <f>VLOOKUP(B83,'SALES MIX'!B14:J104,5)</f>
        <v>38.5</v>
      </c>
      <c r="L83" s="221">
        <f>((F83*J83)+(G83*K83))/((J83+K83)*E83)</f>
        <v>0.45700646653416593</v>
      </c>
      <c r="M83" s="493"/>
      <c r="N83" s="493"/>
      <c r="O83" s="449"/>
    </row>
    <row r="84" spans="2:15" ht="14.65" hidden="1" customHeight="1" outlineLevel="1" thickTop="1">
      <c r="B84" s="913" t="s">
        <v>1304</v>
      </c>
      <c r="C84" s="914" t="s">
        <v>1305</v>
      </c>
      <c r="D84" s="915" t="s">
        <v>1306</v>
      </c>
      <c r="E84" s="915" t="s">
        <v>60</v>
      </c>
      <c r="F84" s="915" t="s">
        <v>1307</v>
      </c>
      <c r="G84" s="915" t="s">
        <v>1315</v>
      </c>
      <c r="H84" s="907" t="s">
        <v>1312</v>
      </c>
      <c r="I84" s="907"/>
      <c r="J84" s="907" t="s">
        <v>1319</v>
      </c>
      <c r="K84" s="907"/>
      <c r="L84" s="908" t="s">
        <v>1313</v>
      </c>
      <c r="M84" s="907" t="s">
        <v>1317</v>
      </c>
      <c r="N84" s="917"/>
      <c r="O84" s="449"/>
    </row>
    <row r="85" spans="2:15" ht="14.65" hidden="1" customHeight="1" outlineLevel="1" thickBot="1">
      <c r="B85" s="894"/>
      <c r="C85" s="896"/>
      <c r="D85" s="898"/>
      <c r="E85" s="898"/>
      <c r="F85" s="898"/>
      <c r="G85" s="898"/>
      <c r="H85" s="502" t="s">
        <v>1309</v>
      </c>
      <c r="I85" s="502" t="s">
        <v>1308</v>
      </c>
      <c r="J85" s="502" t="s">
        <v>1309</v>
      </c>
      <c r="K85" s="502" t="s">
        <v>1308</v>
      </c>
      <c r="L85" s="901"/>
      <c r="M85" s="903"/>
      <c r="N85" s="904"/>
      <c r="O85" s="449"/>
    </row>
    <row r="86" spans="2:15" ht="14.25" hidden="1" customHeight="1" outlineLevel="1">
      <c r="B86" s="504" t="s">
        <v>631</v>
      </c>
      <c r="C86" s="15" t="str">
        <f>IFERROR(VLOOKUP(B86,MasterSheet!$B$6:$N$150,3,),"n/a")</f>
        <v>Injected Whole Chicken (1.25kg)</v>
      </c>
      <c r="D86" s="499">
        <f>1250/9*4</f>
        <v>555.55555555555554</v>
      </c>
      <c r="E86" s="505" t="str">
        <f>IFERROR(VLOOKUP(B86,[4]MasterSheet!B49:N199,10,),"N/a")</f>
        <v>g</v>
      </c>
      <c r="F86" s="506">
        <f>IFERROR(VLOOKUP(B86,MasterSheet!$B$6:$N$150,11,),"N/a")</f>
        <v>34.314223999999996</v>
      </c>
      <c r="G86" s="488">
        <f>IFERROR(D86*F86,"_")</f>
        <v>19063.457777777774</v>
      </c>
      <c r="H86" s="905">
        <f>SUM(G86:G92)</f>
        <v>33378.397611421664</v>
      </c>
      <c r="I86" s="905">
        <f>SUM(G86:G90,G92:G93)</f>
        <v>34578.397611421671</v>
      </c>
      <c r="J86" s="491">
        <f>D86*$J$83</f>
        <v>7222.2222222222217</v>
      </c>
      <c r="K86" s="501">
        <f>D86*$K$83</f>
        <v>21388.888888888887</v>
      </c>
      <c r="L86" s="501">
        <f>SUM(J86:K86)</f>
        <v>28611.111111111109</v>
      </c>
      <c r="M86" s="493"/>
      <c r="N86" s="507"/>
      <c r="O86" s="449"/>
    </row>
    <row r="87" spans="2:15" ht="14.25" hidden="1" customHeight="1" outlineLevel="1">
      <c r="B87" s="508" t="s">
        <v>757</v>
      </c>
      <c r="C87" s="15" t="str">
        <f>IFERROR(VLOOKUP(B87,MasterSheet!$B$6:$N$150,3,),"n/a")</f>
        <v xml:space="preserve">Marinade Powder Mix </v>
      </c>
      <c r="D87" s="499">
        <f>D86*0.012</f>
        <v>6.666666666666667</v>
      </c>
      <c r="E87" s="505" t="str">
        <f>IFERROR(VLOOKUP(B87,[4]MasterSheet!$B$6:$N$515,10,),"N/a")</f>
        <v>g</v>
      </c>
      <c r="F87" s="506">
        <f>IFERROR(VLOOKUP(B87,MasterSheet!$B$6:$N$150,11,),"N/a")</f>
        <v>117.51275510204081</v>
      </c>
      <c r="G87" s="488">
        <f t="shared" ref="G87:G93" si="27">IFERROR(D87*F87,"_")</f>
        <v>783.41836734693879</v>
      </c>
      <c r="H87" s="905"/>
      <c r="I87" s="905"/>
      <c r="J87" s="491">
        <f t="shared" ref="J87:J92" si="28">D87*$J$83</f>
        <v>86.666666666666671</v>
      </c>
      <c r="K87" s="501">
        <f t="shared" ref="K87:K92" si="29">D87*$K$83</f>
        <v>256.66666666666669</v>
      </c>
      <c r="L87" s="501">
        <f t="shared" ref="L87:L93" si="30">SUM(J87:K87)</f>
        <v>343.33333333333337</v>
      </c>
      <c r="M87" s="493"/>
      <c r="N87" s="507"/>
      <c r="O87" s="449"/>
    </row>
    <row r="88" spans="2:15" ht="14.25" hidden="1" customHeight="1" outlineLevel="1">
      <c r="B88" s="508" t="s">
        <v>4</v>
      </c>
      <c r="C88" s="15" t="str">
        <f>IFERROR(VLOOKUP(B88,MasterSheet!$B$6:$N$150,3,),"n/a")</f>
        <v>Battering Powder Mix</v>
      </c>
      <c r="D88" s="499">
        <f>D86*0.175</f>
        <v>97.222222222222214</v>
      </c>
      <c r="E88" s="505" t="str">
        <f>IFERROR(VLOOKUP(B88,[4]MasterSheet!$B$6:$N$515,10,),"N/a")</f>
        <v>g</v>
      </c>
      <c r="F88" s="506">
        <f>IFERROR(VLOOKUP(B88,MasterSheet!$B$6:$N$150,11,),"N/a")</f>
        <v>81.617647058823536</v>
      </c>
      <c r="G88" s="488">
        <f t="shared" si="27"/>
        <v>7935.0490196078435</v>
      </c>
      <c r="H88" s="905"/>
      <c r="I88" s="905"/>
      <c r="J88" s="491">
        <f t="shared" si="28"/>
        <v>1263.8888888888887</v>
      </c>
      <c r="K88" s="501">
        <f t="shared" si="29"/>
        <v>3743.0555555555552</v>
      </c>
      <c r="L88" s="501">
        <f t="shared" si="30"/>
        <v>5006.9444444444434</v>
      </c>
      <c r="M88" s="493"/>
      <c r="N88" s="507"/>
      <c r="O88" s="449"/>
    </row>
    <row r="89" spans="2:15" ht="14.25" hidden="1" customHeight="1" outlineLevel="1">
      <c r="B89" s="508" t="s">
        <v>999</v>
      </c>
      <c r="C89" s="15" t="str">
        <f>IFERROR(VLOOKUP(B89,MasterSheet!$B$6:$N$150,3,),"n/a")</f>
        <v>Palm Oil</v>
      </c>
      <c r="D89" s="499">
        <f>D86*0.1</f>
        <v>55.555555555555557</v>
      </c>
      <c r="E89" s="505" t="str">
        <f>IFERROR(VLOOKUP(B89,[4]MasterSheet!B50:N202,10,),"N/a")</f>
        <v>g</v>
      </c>
      <c r="F89" s="506">
        <f>IFERROR(VLOOKUP(B89,MasterSheet!$B$6:$N$150,11,),"N/a")</f>
        <v>25.580404040404041</v>
      </c>
      <c r="G89" s="488">
        <f t="shared" si="27"/>
        <v>1421.1335578002245</v>
      </c>
      <c r="H89" s="905"/>
      <c r="I89" s="905"/>
      <c r="J89" s="491">
        <f t="shared" si="28"/>
        <v>722.22222222222229</v>
      </c>
      <c r="K89" s="501">
        <f t="shared" si="29"/>
        <v>2138.8888888888891</v>
      </c>
      <c r="L89" s="501">
        <f t="shared" si="30"/>
        <v>2861.1111111111113</v>
      </c>
      <c r="M89" s="493"/>
      <c r="N89" s="507"/>
      <c r="O89" s="449"/>
    </row>
    <row r="90" spans="2:15" ht="14.25" hidden="1" customHeight="1" outlineLevel="1">
      <c r="B90" s="509" t="s">
        <v>1318</v>
      </c>
      <c r="C90" s="15" t="str">
        <f>VLOOKUP(B90,CK!$B$8:$L$87,4,)</f>
        <v>Battering Powder Mix Solution(White)</v>
      </c>
      <c r="D90" s="510">
        <f>D86*0.2</f>
        <v>111.11111111111111</v>
      </c>
      <c r="E90" s="505" t="str">
        <f>VLOOKUP(B90,[4]CK!$B$8:$L$87,9,)</f>
        <v>g</v>
      </c>
      <c r="F90" s="506">
        <f>VLOOKUP(B90,CK!$B$8:$L$87,10,)</f>
        <v>30.23</v>
      </c>
      <c r="G90" s="488">
        <f t="shared" si="27"/>
        <v>3358.8888888888891</v>
      </c>
      <c r="H90" s="905"/>
      <c r="I90" s="905"/>
      <c r="J90" s="491">
        <f t="shared" si="28"/>
        <v>1444.4444444444446</v>
      </c>
      <c r="K90" s="501">
        <f t="shared" si="29"/>
        <v>4277.7777777777783</v>
      </c>
      <c r="L90" s="501">
        <f t="shared" si="30"/>
        <v>5722.2222222222226</v>
      </c>
      <c r="M90" s="493"/>
      <c r="N90" s="507"/>
      <c r="O90" s="449"/>
    </row>
    <row r="91" spans="2:15" ht="14.25" hidden="1" customHeight="1" outlineLevel="1">
      <c r="B91" s="523" t="s">
        <v>1343</v>
      </c>
      <c r="C91" s="15" t="str">
        <f>IFERROR(VLOOKUP(B91,MasterSheet!$B$6:$N$421,3,),"n/a")</f>
        <v>BB.Q Papertray</v>
      </c>
      <c r="D91" s="510">
        <v>1</v>
      </c>
      <c r="E91" s="505" t="str">
        <f>IFERROR(VLOOKUP(B91,[4]MasterSheet!B50:N471,10,),"N/a")</f>
        <v>ea</v>
      </c>
      <c r="F91" s="506">
        <f>IFERROR(VLOOKUP(B91,MasterSheet!$B$6:$N$421,11,),"N/a")</f>
        <v>600</v>
      </c>
      <c r="G91" s="488">
        <f>IFERROR(D91*F91,"_")</f>
        <v>600</v>
      </c>
      <c r="H91" s="905"/>
      <c r="I91" s="905"/>
      <c r="J91" s="491">
        <f t="shared" si="28"/>
        <v>13</v>
      </c>
      <c r="K91" s="501"/>
      <c r="L91" s="501">
        <f t="shared" si="30"/>
        <v>13</v>
      </c>
      <c r="M91" s="493" t="s">
        <v>1345</v>
      </c>
      <c r="N91" s="507"/>
      <c r="O91" s="449"/>
    </row>
    <row r="92" spans="2:15" ht="14.25" hidden="1" customHeight="1" outlineLevel="1">
      <c r="B92" s="523" t="s">
        <v>1347</v>
      </c>
      <c r="C92" s="15" t="str">
        <f>IFERROR(VLOOKUP(B92,MasterSheet!$B$6:$N$421,3,),"n/a")</f>
        <v>PARCHMENT PAPER / WRAPPING RICE</v>
      </c>
      <c r="D92" s="510">
        <v>1</v>
      </c>
      <c r="E92" s="505" t="str">
        <f>IFERROR(VLOOKUP(B92,[4]MasterSheet!B50:N472,10,),"N/a")</f>
        <v>ea</v>
      </c>
      <c r="F92" s="506">
        <f>IFERROR(VLOOKUP(B92,MasterSheet!$B$6:$N$421,11,),"N/a")</f>
        <v>216.45</v>
      </c>
      <c r="G92" s="488">
        <f>IFERROR(D92*F92,"_")</f>
        <v>216.45</v>
      </c>
      <c r="H92" s="905"/>
      <c r="I92" s="905"/>
      <c r="J92" s="491">
        <f t="shared" si="28"/>
        <v>13</v>
      </c>
      <c r="K92" s="501">
        <f t="shared" si="29"/>
        <v>38.5</v>
      </c>
      <c r="L92" s="501"/>
      <c r="M92" s="493"/>
      <c r="N92" s="507"/>
      <c r="O92" s="449"/>
    </row>
    <row r="93" spans="2:15" ht="14.65" hidden="1" customHeight="1" outlineLevel="1" thickBot="1">
      <c r="B93" s="524" t="s">
        <v>1344</v>
      </c>
      <c r="C93" s="512" t="str">
        <f>IFERROR(VLOOKUP(B93,MasterSheet!$B$6:$N$421,3,),"n/a")</f>
        <v>BB.Q Takeaway Box (XL)</v>
      </c>
      <c r="D93" s="513">
        <v>1</v>
      </c>
      <c r="E93" s="514" t="str">
        <f>IFERROR(VLOOKUP(B93,[4]MasterSheet!B50:N471,10,),"N/a")</f>
        <v>ea</v>
      </c>
      <c r="F93" s="515">
        <f>IFERROR(VLOOKUP(B93,MasterSheet!$B$6:$N$421,11,),"N/a")</f>
        <v>1800</v>
      </c>
      <c r="G93" s="516">
        <f t="shared" si="27"/>
        <v>1800</v>
      </c>
      <c r="H93" s="916"/>
      <c r="I93" s="916"/>
      <c r="J93" s="517"/>
      <c r="K93" s="518">
        <f>D93*$K$83</f>
        <v>38.5</v>
      </c>
      <c r="L93" s="518">
        <f t="shared" si="30"/>
        <v>38.5</v>
      </c>
      <c r="M93" s="519" t="s">
        <v>1346</v>
      </c>
      <c r="N93" s="520"/>
      <c r="O93" s="449"/>
    </row>
    <row r="94" spans="2:15" collapsed="1">
      <c r="B94" s="219" t="s">
        <v>1373</v>
      </c>
      <c r="C94" s="15" t="s">
        <v>1348</v>
      </c>
      <c r="D94" s="184">
        <f>E94*(1+$E$8)</f>
        <v>93500.000000000015</v>
      </c>
      <c r="E94" s="184">
        <v>85000</v>
      </c>
      <c r="F94" s="174">
        <f>H97</f>
        <v>44700.012194755007</v>
      </c>
      <c r="G94" s="488">
        <f>I97</f>
        <v>45900.012194755007</v>
      </c>
      <c r="H94" s="500">
        <f>F94/E94</f>
        <v>0.5258824964088824</v>
      </c>
      <c r="I94" s="500">
        <f>G94/E94</f>
        <v>0.54000014346770597</v>
      </c>
      <c r="J94" s="491">
        <f>VLOOKUP(B94,'SALES MIX'!B14:J104,4)</f>
        <v>0</v>
      </c>
      <c r="K94" s="501">
        <f>VLOOKUP(B94,'SALES MIX'!B14:J104,5)</f>
        <v>0</v>
      </c>
      <c r="L94" s="221" t="e">
        <f>((F94*J94)+(G94*K94))/((J94+K94)*E94)</f>
        <v>#DIV/0!</v>
      </c>
      <c r="M94" s="493"/>
      <c r="N94" s="493"/>
      <c r="O94" s="449"/>
    </row>
    <row r="95" spans="2:15" ht="17.25" hidden="1" customHeight="1" outlineLevel="1" thickTop="1">
      <c r="B95" s="913" t="s">
        <v>1304</v>
      </c>
      <c r="C95" s="914" t="s">
        <v>1305</v>
      </c>
      <c r="D95" s="915" t="s">
        <v>1306</v>
      </c>
      <c r="E95" s="915" t="s">
        <v>60</v>
      </c>
      <c r="F95" s="915" t="s">
        <v>1307</v>
      </c>
      <c r="G95" s="915" t="s">
        <v>1315</v>
      </c>
      <c r="H95" s="907" t="s">
        <v>1312</v>
      </c>
      <c r="I95" s="907"/>
      <c r="J95" s="907" t="s">
        <v>1319</v>
      </c>
      <c r="K95" s="907"/>
      <c r="L95" s="908" t="s">
        <v>1313</v>
      </c>
      <c r="M95" s="907" t="s">
        <v>1317</v>
      </c>
      <c r="N95" s="917"/>
      <c r="O95" s="449"/>
    </row>
    <row r="96" spans="2:15" ht="14.65" hidden="1" customHeight="1" outlineLevel="1" thickBot="1">
      <c r="B96" s="894"/>
      <c r="C96" s="896"/>
      <c r="D96" s="898"/>
      <c r="E96" s="898"/>
      <c r="F96" s="898"/>
      <c r="G96" s="898"/>
      <c r="H96" s="502" t="s">
        <v>1309</v>
      </c>
      <c r="I96" s="502" t="s">
        <v>1308</v>
      </c>
      <c r="J96" s="502" t="s">
        <v>1309</v>
      </c>
      <c r="K96" s="502" t="s">
        <v>1308</v>
      </c>
      <c r="L96" s="901"/>
      <c r="M96" s="903"/>
      <c r="N96" s="904"/>
      <c r="O96" s="449"/>
    </row>
    <row r="97" spans="2:15" ht="14.25" hidden="1" customHeight="1" outlineLevel="1">
      <c r="B97" s="504" t="s">
        <v>631</v>
      </c>
      <c r="C97" s="15" t="str">
        <f>IFERROR(VLOOKUP(B97,MasterSheet!$B$6:$N$150,3,),"n/a")</f>
        <v>Injected Whole Chicken (1.25kg)</v>
      </c>
      <c r="D97" s="499">
        <f>1250/9*4</f>
        <v>555.55555555555554</v>
      </c>
      <c r="E97" s="505" t="str">
        <f>IFERROR(VLOOKUP(B97,[4]MasterSheet!B50:N210,10,),"N/a")</f>
        <v>g</v>
      </c>
      <c r="F97" s="506">
        <f>IFERROR(VLOOKUP(B97,MasterSheet!$B$6:$N$150,11,),"N/a")</f>
        <v>34.314223999999996</v>
      </c>
      <c r="G97" s="488">
        <f t="shared" ref="G97:G105" si="31">IFERROR(D97*F97,"_")</f>
        <v>19063.457777777774</v>
      </c>
      <c r="H97" s="905">
        <f>SUM(G97:G104)</f>
        <v>44700.012194755007</v>
      </c>
      <c r="I97" s="905">
        <f>SUM(G97:G102,G104:G105)</f>
        <v>45900.012194755007</v>
      </c>
      <c r="J97" s="491">
        <f>D97*$J$83</f>
        <v>7222.2222222222217</v>
      </c>
      <c r="K97" s="501">
        <f>D97*$K$83</f>
        <v>21388.888888888887</v>
      </c>
      <c r="L97" s="501">
        <f>SUM(J97:K97)</f>
        <v>28611.111111111109</v>
      </c>
      <c r="M97" s="493"/>
      <c r="N97" s="507"/>
      <c r="O97" s="449"/>
    </row>
    <row r="98" spans="2:15" ht="14.25" hidden="1" customHeight="1" outlineLevel="1">
      <c r="B98" s="508" t="s">
        <v>757</v>
      </c>
      <c r="C98" s="15" t="str">
        <f>IFERROR(VLOOKUP(B98,MasterSheet!$B$6:$N$150,3,),"n/a")</f>
        <v xml:space="preserve">Marinade Powder Mix </v>
      </c>
      <c r="D98" s="499">
        <f>D97*0.012</f>
        <v>6.666666666666667</v>
      </c>
      <c r="E98" s="505" t="str">
        <f>IFERROR(VLOOKUP(B98,[4]MasterSheet!$B$6:$N$515,10,),"N/a")</f>
        <v>g</v>
      </c>
      <c r="F98" s="506">
        <f>IFERROR(VLOOKUP(B98,MasterSheet!$B$6:$N$150,11,),"N/a")</f>
        <v>117.51275510204081</v>
      </c>
      <c r="G98" s="488">
        <f t="shared" si="31"/>
        <v>783.41836734693879</v>
      </c>
      <c r="H98" s="905"/>
      <c r="I98" s="905"/>
      <c r="J98" s="491">
        <f t="shared" ref="J98:J104" si="32">D98*$J$83</f>
        <v>86.666666666666671</v>
      </c>
      <c r="K98" s="501">
        <f>D98*$K$83</f>
        <v>256.66666666666669</v>
      </c>
      <c r="L98" s="501">
        <f t="shared" ref="L98:L103" si="33">SUM(J98:K98)</f>
        <v>343.33333333333337</v>
      </c>
      <c r="M98" s="493"/>
      <c r="N98" s="507"/>
      <c r="O98" s="449"/>
    </row>
    <row r="99" spans="2:15" ht="14.25" hidden="1" customHeight="1" outlineLevel="1">
      <c r="B99" s="508" t="s">
        <v>4</v>
      </c>
      <c r="C99" s="15" t="str">
        <f>IFERROR(VLOOKUP(B99,MasterSheet!$B$6:$N$150,3,),"n/a")</f>
        <v>Battering Powder Mix</v>
      </c>
      <c r="D99" s="499">
        <f>D97*0.175</f>
        <v>97.222222222222214</v>
      </c>
      <c r="E99" s="505" t="str">
        <f>IFERROR(VLOOKUP(B99,[4]MasterSheet!$B$6:$N$515,10,),"N/a")</f>
        <v>g</v>
      </c>
      <c r="F99" s="506">
        <f>IFERROR(VLOOKUP(B99,MasterSheet!$B$6:$N$150,11,),"N/a")</f>
        <v>81.617647058823536</v>
      </c>
      <c r="G99" s="488">
        <f t="shared" si="31"/>
        <v>7935.0490196078435</v>
      </c>
      <c r="H99" s="905"/>
      <c r="I99" s="905"/>
      <c r="J99" s="491">
        <f t="shared" si="32"/>
        <v>1263.8888888888887</v>
      </c>
      <c r="K99" s="501">
        <f>D99*$K$83</f>
        <v>3743.0555555555552</v>
      </c>
      <c r="L99" s="501">
        <f t="shared" si="33"/>
        <v>5006.9444444444434</v>
      </c>
      <c r="M99" s="493"/>
      <c r="N99" s="507"/>
      <c r="O99" s="449"/>
    </row>
    <row r="100" spans="2:15" ht="14.25" hidden="1" customHeight="1" outlineLevel="1">
      <c r="B100" s="508" t="s">
        <v>999</v>
      </c>
      <c r="C100" s="15" t="str">
        <f>IFERROR(VLOOKUP(B100,MasterSheet!$B$6:$N$150,3,),"n/a")</f>
        <v>Palm Oil</v>
      </c>
      <c r="D100" s="499">
        <f>D97*0.1</f>
        <v>55.555555555555557</v>
      </c>
      <c r="E100" s="505" t="str">
        <f>IFERROR(VLOOKUP(B100,[4]MasterSheet!B50:N213,10,),"N/a")</f>
        <v>g</v>
      </c>
      <c r="F100" s="506">
        <f>IFERROR(VLOOKUP(B100,MasterSheet!$B$6:$N$150,11,),"N/a")</f>
        <v>25.580404040404041</v>
      </c>
      <c r="G100" s="488">
        <f t="shared" si="31"/>
        <v>1421.1335578002245</v>
      </c>
      <c r="H100" s="905"/>
      <c r="I100" s="905"/>
      <c r="J100" s="491">
        <f t="shared" si="32"/>
        <v>722.22222222222229</v>
      </c>
      <c r="K100" s="501">
        <f>D100*$K$83</f>
        <v>2138.8888888888891</v>
      </c>
      <c r="L100" s="501">
        <f t="shared" si="33"/>
        <v>2861.1111111111113</v>
      </c>
      <c r="M100" s="493"/>
      <c r="N100" s="507"/>
      <c r="O100" s="449"/>
    </row>
    <row r="101" spans="2:15" ht="14.25" hidden="1" customHeight="1" outlineLevel="1">
      <c r="B101" s="508" t="s">
        <v>1325</v>
      </c>
      <c r="C101" s="15" t="str">
        <f>IFERROR(VLOOKUP(B101,MasterSheet!$B$6:$N$150,3,),"n/a")</f>
        <v>Hot Spicy Sauce</v>
      </c>
      <c r="D101" s="499">
        <f>D97*15%</f>
        <v>83.333333333333329</v>
      </c>
      <c r="E101" s="505" t="str">
        <f>IFERROR(VLOOKUP(B101,[4]MasterSheet!B50:N315,10,),"N/a")</f>
        <v>N/a</v>
      </c>
      <c r="F101" s="506">
        <f>IFERROR(VLOOKUP(B101,MasterSheet!$B$6:$N$150,11,),"N/a")</f>
        <v>135.85937500000003</v>
      </c>
      <c r="G101" s="488">
        <f t="shared" si="31"/>
        <v>11321.614583333336</v>
      </c>
      <c r="H101" s="905"/>
      <c r="I101" s="905"/>
      <c r="J101" s="491"/>
      <c r="K101" s="501"/>
      <c r="L101" s="501"/>
      <c r="M101" s="493"/>
      <c r="N101" s="507"/>
      <c r="O101" s="449"/>
    </row>
    <row r="102" spans="2:15" ht="14.25" hidden="1" customHeight="1" outlineLevel="1">
      <c r="B102" s="509" t="s">
        <v>1318</v>
      </c>
      <c r="C102" s="15" t="str">
        <f>VLOOKUP(B102,CK!$B$8:$L$87,4,)</f>
        <v>Battering Powder Mix Solution(White)</v>
      </c>
      <c r="D102" s="510">
        <f>D97*0.2</f>
        <v>111.11111111111111</v>
      </c>
      <c r="E102" s="505" t="str">
        <f>VLOOKUP(B102,[4]CK!$B$8:$L$87,9,)</f>
        <v>g</v>
      </c>
      <c r="F102" s="506">
        <f>VLOOKUP(B102,CK!$B$8:$L$87,10,)</f>
        <v>30.23</v>
      </c>
      <c r="G102" s="488">
        <f t="shared" si="31"/>
        <v>3358.8888888888891</v>
      </c>
      <c r="H102" s="905"/>
      <c r="I102" s="905"/>
      <c r="J102" s="491">
        <f t="shared" si="32"/>
        <v>1444.4444444444446</v>
      </c>
      <c r="K102" s="501">
        <f>D102*$K$83</f>
        <v>4277.7777777777783</v>
      </c>
      <c r="L102" s="501">
        <f t="shared" si="33"/>
        <v>5722.2222222222226</v>
      </c>
      <c r="M102" s="493"/>
      <c r="N102" s="507"/>
      <c r="O102" s="449"/>
    </row>
    <row r="103" spans="2:15" ht="14.25" hidden="1" customHeight="1" outlineLevel="1">
      <c r="B103" s="523" t="s">
        <v>1343</v>
      </c>
      <c r="C103" s="15" t="str">
        <f>IFERROR(VLOOKUP(B103,MasterSheet!$B$6:$N$421,3,),"n/a")</f>
        <v>BB.Q Papertray</v>
      </c>
      <c r="D103" s="510">
        <v>1</v>
      </c>
      <c r="E103" s="505" t="str">
        <f>IFERROR(VLOOKUP(B103,[4]MasterSheet!B50:N482,10,),"N/a")</f>
        <v>ea</v>
      </c>
      <c r="F103" s="506">
        <f>IFERROR(VLOOKUP(B103,MasterSheet!$B$6:$N$421,11,),"N/a")</f>
        <v>600</v>
      </c>
      <c r="G103" s="488">
        <f t="shared" si="31"/>
        <v>600</v>
      </c>
      <c r="H103" s="905"/>
      <c r="I103" s="905"/>
      <c r="J103" s="491">
        <f t="shared" si="32"/>
        <v>13</v>
      </c>
      <c r="K103" s="501"/>
      <c r="L103" s="501">
        <f t="shared" si="33"/>
        <v>13</v>
      </c>
      <c r="M103" s="493" t="s">
        <v>1345</v>
      </c>
      <c r="N103" s="507"/>
      <c r="O103" s="449"/>
    </row>
    <row r="104" spans="2:15" ht="14.25" hidden="1" customHeight="1" outlineLevel="1">
      <c r="B104" s="523" t="s">
        <v>1347</v>
      </c>
      <c r="C104" s="15" t="str">
        <f>IFERROR(VLOOKUP(B104,MasterSheet!$B$6:$N$421,3,),"n/a")</f>
        <v>PARCHMENT PAPER / WRAPPING RICE</v>
      </c>
      <c r="D104" s="510">
        <v>1</v>
      </c>
      <c r="E104" s="505" t="str">
        <f>IFERROR(VLOOKUP(B104,[4]MasterSheet!B50:N483,10,),"N/a")</f>
        <v>ea</v>
      </c>
      <c r="F104" s="506">
        <f>IFERROR(VLOOKUP(B104,MasterSheet!$B$6:$N$421,11,),"N/a")</f>
        <v>216.45</v>
      </c>
      <c r="G104" s="488">
        <f t="shared" si="31"/>
        <v>216.45</v>
      </c>
      <c r="H104" s="905"/>
      <c r="I104" s="905"/>
      <c r="J104" s="491">
        <f t="shared" si="32"/>
        <v>13</v>
      </c>
      <c r="K104" s="501">
        <f>D104*$K$83</f>
        <v>38.5</v>
      </c>
      <c r="L104" s="501"/>
      <c r="M104" s="493"/>
      <c r="N104" s="507"/>
      <c r="O104" s="449"/>
    </row>
    <row r="105" spans="2:15" ht="14.65" hidden="1" customHeight="1" outlineLevel="1" thickBot="1">
      <c r="B105" s="524" t="s">
        <v>1344</v>
      </c>
      <c r="C105" s="512" t="str">
        <f>IFERROR(VLOOKUP(B105,MasterSheet!$B$6:$N$421,3,),"n/a")</f>
        <v>BB.Q Takeaway Box (XL)</v>
      </c>
      <c r="D105" s="513">
        <v>1</v>
      </c>
      <c r="E105" s="514" t="str">
        <f>IFERROR(VLOOKUP(B105,[4]MasterSheet!B50:N482,10,),"N/a")</f>
        <v>ea</v>
      </c>
      <c r="F105" s="515">
        <f>IFERROR(VLOOKUP(B105,MasterSheet!$B$6:$N$421,11,),"N/a")</f>
        <v>1800</v>
      </c>
      <c r="G105" s="516">
        <f t="shared" si="31"/>
        <v>1800</v>
      </c>
      <c r="H105" s="916"/>
      <c r="I105" s="916"/>
      <c r="J105" s="517"/>
      <c r="K105" s="518">
        <f>D105*$K$83</f>
        <v>38.5</v>
      </c>
      <c r="L105" s="518">
        <f>SUM(J105:K105)</f>
        <v>38.5</v>
      </c>
      <c r="M105" s="519" t="s">
        <v>1346</v>
      </c>
      <c r="N105" s="520"/>
      <c r="O105" s="449"/>
    </row>
    <row r="106" spans="2:15" collapsed="1">
      <c r="B106" s="219" t="s">
        <v>1374</v>
      </c>
      <c r="C106" s="15" t="s">
        <v>1349</v>
      </c>
      <c r="D106" s="184">
        <f>E106*(1+$E$8)</f>
        <v>93500.000000000015</v>
      </c>
      <c r="E106" s="184">
        <v>85000</v>
      </c>
      <c r="F106" s="174">
        <f>H109</f>
        <v>31351.379657573467</v>
      </c>
      <c r="G106" s="488">
        <f>I109</f>
        <v>32551.379657573467</v>
      </c>
      <c r="H106" s="500">
        <f>F106/E106</f>
        <v>0.36883976067733493</v>
      </c>
      <c r="I106" s="500">
        <f>G106/E106</f>
        <v>0.38295740773615844</v>
      </c>
      <c r="J106" s="491">
        <f>VLOOKUP(B106,'SALES MIX'!B14:J104,4)</f>
        <v>53.5</v>
      </c>
      <c r="K106" s="501">
        <f>VLOOKUP(B106,'SALES MIX'!B14:J104,5)</f>
        <v>30.25</v>
      </c>
      <c r="L106" s="221">
        <f>((F106*J106)+(G106*K106))/((J106+K106)*E106)</f>
        <v>0.37393897051052188</v>
      </c>
      <c r="M106" s="493"/>
      <c r="N106" s="493"/>
      <c r="O106" s="449"/>
    </row>
    <row r="107" spans="2:15" ht="14.65" hidden="1" customHeight="1" outlineLevel="1" thickTop="1">
      <c r="B107" s="913" t="s">
        <v>1304</v>
      </c>
      <c r="C107" s="914" t="s">
        <v>1305</v>
      </c>
      <c r="D107" s="915" t="s">
        <v>1306</v>
      </c>
      <c r="E107" s="915" t="s">
        <v>60</v>
      </c>
      <c r="F107" s="915" t="s">
        <v>1307</v>
      </c>
      <c r="G107" s="915" t="s">
        <v>1315</v>
      </c>
      <c r="H107" s="907" t="s">
        <v>1312</v>
      </c>
      <c r="I107" s="907"/>
      <c r="J107" s="907" t="s">
        <v>1319</v>
      </c>
      <c r="K107" s="907"/>
      <c r="L107" s="908" t="s">
        <v>1313</v>
      </c>
      <c r="M107" s="907" t="s">
        <v>1317</v>
      </c>
      <c r="N107" s="917"/>
      <c r="O107" s="449"/>
    </row>
    <row r="108" spans="2:15" ht="14.65" hidden="1" customHeight="1" outlineLevel="1" thickBot="1">
      <c r="B108" s="894"/>
      <c r="C108" s="896"/>
      <c r="D108" s="898"/>
      <c r="E108" s="898"/>
      <c r="F108" s="898"/>
      <c r="G108" s="898"/>
      <c r="H108" s="502" t="s">
        <v>1309</v>
      </c>
      <c r="I108" s="502" t="s">
        <v>1308</v>
      </c>
      <c r="J108" s="502" t="s">
        <v>1309</v>
      </c>
      <c r="K108" s="502" t="s">
        <v>1308</v>
      </c>
      <c r="L108" s="901"/>
      <c r="M108" s="903"/>
      <c r="N108" s="904"/>
      <c r="O108" s="449"/>
    </row>
    <row r="109" spans="2:15" ht="14.25" hidden="1" customHeight="1" outlineLevel="1">
      <c r="B109" s="504" t="s">
        <v>1331</v>
      </c>
      <c r="C109" s="15" t="str">
        <f>IFERROR(VLOOKUP(B109,MasterSheet!$B$6:$N$150,3,),"n/a")</f>
        <v>Injected Whole Chicken (1.25kg)</v>
      </c>
      <c r="D109" s="499">
        <f>1250/9*4</f>
        <v>555.55555555555554</v>
      </c>
      <c r="E109" s="505" t="str">
        <f>IFERROR(VLOOKUP(B109,[4]MasterSheet!B52:N222,10,),"N/a")</f>
        <v>g</v>
      </c>
      <c r="F109" s="506">
        <f>IFERROR(VLOOKUP(B109,MasterSheet!$B$6:$N$150,11,),"N/a")</f>
        <v>34.314223999999996</v>
      </c>
      <c r="G109" s="488">
        <f t="shared" ref="G109:G117" si="34">IFERROR(D109*F109,"_")</f>
        <v>19063.457777777774</v>
      </c>
      <c r="H109" s="905">
        <f>SUM(G109:G116)</f>
        <v>31351.379657573467</v>
      </c>
      <c r="I109" s="905">
        <f>SUM(G109:G114,G116:G117)</f>
        <v>32551.379657573467</v>
      </c>
      <c r="J109" s="491">
        <f>D109*$J$106</f>
        <v>29722.222222222223</v>
      </c>
      <c r="K109" s="501">
        <f>D109*$K$106</f>
        <v>16805.555555555555</v>
      </c>
      <c r="L109" s="501">
        <f>SUM(J109:K109)</f>
        <v>46527.777777777781</v>
      </c>
      <c r="M109" s="493"/>
      <c r="N109" s="507"/>
      <c r="O109" s="449"/>
    </row>
    <row r="110" spans="2:15" ht="14.25" hidden="1" customHeight="1" outlineLevel="1">
      <c r="B110" s="508" t="s">
        <v>1327</v>
      </c>
      <c r="C110" s="15" t="str">
        <f>IFERROR(VLOOKUP(B110,MasterSheet!$B$6:$N$150,3,),"n/a")</f>
        <v>Palm Oil</v>
      </c>
      <c r="D110" s="499">
        <f>D109*10%</f>
        <v>55.555555555555557</v>
      </c>
      <c r="E110" s="505" t="str">
        <f>IFERROR(VLOOKUP(B110,[4]MasterSheet!$B$6:$N$515,10,),"N/a")</f>
        <v>g</v>
      </c>
      <c r="F110" s="506">
        <f>IFERROR(VLOOKUP(B110,MasterSheet!$B$6:$N$150,11,),"N/a")</f>
        <v>25.580404040404041</v>
      </c>
      <c r="G110" s="488">
        <f t="shared" si="34"/>
        <v>1421.1335578002245</v>
      </c>
      <c r="H110" s="905"/>
      <c r="I110" s="905"/>
      <c r="J110" s="491">
        <f t="shared" ref="J110:J116" si="35">D110*$J$106</f>
        <v>2972.2222222222222</v>
      </c>
      <c r="K110" s="501">
        <f t="shared" ref="K110:K116" si="36">D110*$K$106</f>
        <v>1680.5555555555557</v>
      </c>
      <c r="L110" s="501">
        <f t="shared" ref="L110:L116" si="37">SUM(J110:K110)</f>
        <v>4652.7777777777774</v>
      </c>
      <c r="M110" s="493"/>
      <c r="N110" s="507"/>
      <c r="O110" s="449"/>
    </row>
    <row r="111" spans="2:15" ht="14.25" hidden="1" customHeight="1" outlineLevel="1">
      <c r="B111" s="508" t="s">
        <v>909</v>
      </c>
      <c r="C111" s="15" t="str">
        <f>IFERROR(VLOOKUP(B111,MasterSheet!$B$6:$N$150,3,),"n/a")</f>
        <v xml:space="preserve">Cheese Taste Seasoning Mix </v>
      </c>
      <c r="D111" s="499">
        <f>D109*4%</f>
        <v>22.222222222222221</v>
      </c>
      <c r="E111" s="505" t="str">
        <f>IFERROR(VLOOKUP(B111,[4]MasterSheet!$B$6:$N$515,10,),"N/a")</f>
        <v>g</v>
      </c>
      <c r="F111" s="506">
        <f>IFERROR(VLOOKUP(B111,MasterSheet!$B$6:$N$150,11,),"N/a")</f>
        <v>294.48979591836735</v>
      </c>
      <c r="G111" s="488">
        <f t="shared" si="34"/>
        <v>6544.2176870748299</v>
      </c>
      <c r="H111" s="905"/>
      <c r="I111" s="905"/>
      <c r="J111" s="491">
        <f t="shared" si="35"/>
        <v>1188.8888888888889</v>
      </c>
      <c r="K111" s="501">
        <f t="shared" si="36"/>
        <v>672.22222222222217</v>
      </c>
      <c r="L111" s="501">
        <f t="shared" si="37"/>
        <v>1861.1111111111111</v>
      </c>
      <c r="M111" s="493"/>
      <c r="N111" s="507"/>
      <c r="O111" s="449"/>
    </row>
    <row r="112" spans="2:15" ht="14.25" hidden="1" customHeight="1" outlineLevel="1">
      <c r="B112" s="508" t="s">
        <v>985</v>
      </c>
      <c r="C112" s="15" t="str">
        <f>IFERROR(VLOOKUP(B112,MasterSheet!$B$6:$N$150,3,),"n/a")</f>
        <v>Lemon</v>
      </c>
      <c r="D112" s="499">
        <f>0.05*4</f>
        <v>0.2</v>
      </c>
      <c r="E112" s="505" t="str">
        <f>IFERROR(VLOOKUP(B112,[4]MasterSheet!B53:N225,10,),"N/a")</f>
        <v>ea</v>
      </c>
      <c r="F112" s="506">
        <f>IFERROR(VLOOKUP(B112,MasterSheet!$B$6:$N$150,11,),"N/a")</f>
        <v>35.714285714285715</v>
      </c>
      <c r="G112" s="488">
        <f t="shared" si="34"/>
        <v>7.1428571428571432</v>
      </c>
      <c r="H112" s="905"/>
      <c r="I112" s="905"/>
      <c r="J112" s="491">
        <f t="shared" si="35"/>
        <v>10.700000000000001</v>
      </c>
      <c r="K112" s="501">
        <f t="shared" si="36"/>
        <v>6.0500000000000007</v>
      </c>
      <c r="L112" s="501">
        <f t="shared" si="37"/>
        <v>16.75</v>
      </c>
      <c r="M112" s="493"/>
      <c r="N112" s="507"/>
      <c r="O112" s="449"/>
    </row>
    <row r="113" spans="2:15" ht="14.25" hidden="1" customHeight="1" outlineLevel="1">
      <c r="B113" s="525" t="s">
        <v>1328</v>
      </c>
      <c r="C113" s="15" t="str">
        <f>VLOOKUP(B113,CK!$B$8:$L$87,4,)</f>
        <v>Battering Powder Mix C Solution(Yellow)</v>
      </c>
      <c r="D113" s="499">
        <f>D109*21%</f>
        <v>116.66666666666666</v>
      </c>
      <c r="E113" s="505" t="str">
        <f>VLOOKUP(B113,[4]CK!$B$8:$L$87,9,)</f>
        <v>g</v>
      </c>
      <c r="F113" s="506">
        <f>VLOOKUP(B113,CK!$B$8:$L$87,10,)</f>
        <v>23.80952380952381</v>
      </c>
      <c r="G113" s="488">
        <f t="shared" si="34"/>
        <v>2777.7777777777778</v>
      </c>
      <c r="H113" s="905"/>
      <c r="I113" s="905"/>
      <c r="J113" s="491">
        <f t="shared" si="35"/>
        <v>6241.6666666666661</v>
      </c>
      <c r="K113" s="501">
        <f t="shared" si="36"/>
        <v>3529.1666666666665</v>
      </c>
      <c r="L113" s="501">
        <f t="shared" si="37"/>
        <v>9770.8333333333321</v>
      </c>
      <c r="M113" s="493"/>
      <c r="N113" s="507"/>
      <c r="O113" s="449"/>
    </row>
    <row r="114" spans="2:15" ht="14.25" hidden="1" customHeight="1" outlineLevel="1">
      <c r="B114" s="509" t="s">
        <v>1352</v>
      </c>
      <c r="C114" s="15" t="str">
        <f>VLOOKUP(B114,CK!$B$8:$L$87,4,)</f>
        <v>Lemon Syrup</v>
      </c>
      <c r="D114" s="510">
        <v>20</v>
      </c>
      <c r="E114" s="505" t="str">
        <f>VLOOKUP(B114,[4]CK!$B$8:$L$87,9,)</f>
        <v>g</v>
      </c>
      <c r="F114" s="506">
        <f>VLOOKUP(B114,CK!$B$8:$L$87,10,)</f>
        <v>36.06</v>
      </c>
      <c r="G114" s="488">
        <f t="shared" si="34"/>
        <v>721.2</v>
      </c>
      <c r="H114" s="905"/>
      <c r="I114" s="905"/>
      <c r="J114" s="491">
        <f t="shared" si="35"/>
        <v>1070</v>
      </c>
      <c r="K114" s="501">
        <f t="shared" si="36"/>
        <v>605</v>
      </c>
      <c r="L114" s="501">
        <f t="shared" si="37"/>
        <v>1675</v>
      </c>
      <c r="M114" s="493"/>
      <c r="N114" s="507"/>
      <c r="O114" s="449"/>
    </row>
    <row r="115" spans="2:15" ht="14.25" hidden="1" customHeight="1" outlineLevel="1">
      <c r="B115" s="523" t="s">
        <v>1343</v>
      </c>
      <c r="C115" s="15" t="str">
        <f>IFERROR(VLOOKUP(B115,MasterSheet!$B$6:$N$421,3,),"n/a")</f>
        <v>BB.Q Papertray</v>
      </c>
      <c r="D115" s="510">
        <v>1</v>
      </c>
      <c r="E115" s="505" t="str">
        <f>IFERROR(VLOOKUP(B115,[4]MasterSheet!B53:N494,10,),"N/a")</f>
        <v>ea</v>
      </c>
      <c r="F115" s="506">
        <f>IFERROR(VLOOKUP(B115,MasterSheet!$B$6:$N$421,11,),"N/a")</f>
        <v>600</v>
      </c>
      <c r="G115" s="488">
        <f t="shared" si="34"/>
        <v>600</v>
      </c>
      <c r="H115" s="905"/>
      <c r="I115" s="905"/>
      <c r="J115" s="491">
        <f t="shared" si="35"/>
        <v>53.5</v>
      </c>
      <c r="K115" s="501"/>
      <c r="L115" s="501">
        <f t="shared" si="37"/>
        <v>53.5</v>
      </c>
      <c r="M115" s="493" t="s">
        <v>1345</v>
      </c>
      <c r="N115" s="507"/>
      <c r="O115" s="449"/>
    </row>
    <row r="116" spans="2:15" ht="14.25" hidden="1" customHeight="1" outlineLevel="1">
      <c r="B116" s="523" t="s">
        <v>1347</v>
      </c>
      <c r="C116" s="15" t="str">
        <f>IFERROR(VLOOKUP(B116,MasterSheet!$B$6:$N$421,3,),"n/a")</f>
        <v>PARCHMENT PAPER / WRAPPING RICE</v>
      </c>
      <c r="D116" s="510">
        <v>1</v>
      </c>
      <c r="E116" s="505" t="str">
        <f>IFERROR(VLOOKUP(B116,[4]MasterSheet!B53:N495,10,),"N/a")</f>
        <v>ea</v>
      </c>
      <c r="F116" s="506">
        <f>IFERROR(VLOOKUP(B116,MasterSheet!$B$6:$N$421,11,),"N/a")</f>
        <v>216.45</v>
      </c>
      <c r="G116" s="488">
        <f t="shared" si="34"/>
        <v>216.45</v>
      </c>
      <c r="H116" s="905"/>
      <c r="I116" s="905"/>
      <c r="J116" s="491">
        <f t="shared" si="35"/>
        <v>53.5</v>
      </c>
      <c r="K116" s="501">
        <f t="shared" si="36"/>
        <v>30.25</v>
      </c>
      <c r="L116" s="501">
        <f t="shared" si="37"/>
        <v>83.75</v>
      </c>
      <c r="M116" s="493"/>
      <c r="N116" s="507"/>
      <c r="O116" s="449"/>
    </row>
    <row r="117" spans="2:15" ht="14.65" hidden="1" customHeight="1" outlineLevel="1" thickBot="1">
      <c r="B117" s="524" t="s">
        <v>1344</v>
      </c>
      <c r="C117" s="512" t="str">
        <f>IFERROR(VLOOKUP(B117,MasterSheet!$B$6:$N$421,3,),"n/a")</f>
        <v>BB.Q Takeaway Box (XL)</v>
      </c>
      <c r="D117" s="513">
        <v>1</v>
      </c>
      <c r="E117" s="514" t="str">
        <f>IFERROR(VLOOKUP(B117,[4]MasterSheet!B53:N494,10,),"N/a")</f>
        <v>ea</v>
      </c>
      <c r="F117" s="515">
        <f>IFERROR(VLOOKUP(B117,MasterSheet!$B$6:$N$421,11,),"N/a")</f>
        <v>1800</v>
      </c>
      <c r="G117" s="516">
        <f t="shared" si="34"/>
        <v>1800</v>
      </c>
      <c r="H117" s="916"/>
      <c r="I117" s="916"/>
      <c r="J117" s="517"/>
      <c r="K117" s="518">
        <f>D117*$K$106</f>
        <v>30.25</v>
      </c>
      <c r="L117" s="518">
        <f>SUM(J117:K117)</f>
        <v>30.25</v>
      </c>
      <c r="M117" s="519" t="s">
        <v>1346</v>
      </c>
      <c r="N117" s="520"/>
      <c r="O117" s="449"/>
    </row>
    <row r="118" spans="2:15" collapsed="1">
      <c r="B118" s="219" t="s">
        <v>1375</v>
      </c>
      <c r="C118" s="15" t="s">
        <v>1353</v>
      </c>
      <c r="D118" s="184">
        <f>E118*(1+$E$8)</f>
        <v>93500.000000000015</v>
      </c>
      <c r="E118" s="184">
        <v>85000</v>
      </c>
      <c r="F118" s="174">
        <f>H121</f>
        <v>32679.614567901233</v>
      </c>
      <c r="G118" s="488">
        <f>I121</f>
        <v>33879.614567901233</v>
      </c>
      <c r="H118" s="500">
        <f>F118/E118</f>
        <v>0.38446605374001452</v>
      </c>
      <c r="I118" s="500">
        <f>G118/E118</f>
        <v>0.39858370079883804</v>
      </c>
      <c r="J118" s="491">
        <f>VLOOKUP(B118,'SALES MIX'!B14:J104,4)</f>
        <v>11.75</v>
      </c>
      <c r="K118" s="501">
        <f>VLOOKUP(B118,'SALES MIX'!B14:J104,5)</f>
        <v>13.75</v>
      </c>
      <c r="L118" s="221">
        <f>((F118*J118)+(G118*K118))/((J118+K118)*E118)</f>
        <v>0.39207851048741937</v>
      </c>
      <c r="M118" s="493"/>
      <c r="N118" s="493"/>
      <c r="O118" s="449"/>
    </row>
    <row r="119" spans="2:15" ht="14.65" hidden="1" customHeight="1" outlineLevel="1" thickTop="1">
      <c r="B119" s="913" t="s">
        <v>1304</v>
      </c>
      <c r="C119" s="914" t="s">
        <v>1305</v>
      </c>
      <c r="D119" s="915" t="s">
        <v>1306</v>
      </c>
      <c r="E119" s="915" t="s">
        <v>60</v>
      </c>
      <c r="F119" s="915" t="s">
        <v>1307</v>
      </c>
      <c r="G119" s="915" t="s">
        <v>1315</v>
      </c>
      <c r="H119" s="907" t="s">
        <v>1312</v>
      </c>
      <c r="I119" s="907"/>
      <c r="J119" s="907" t="s">
        <v>1319</v>
      </c>
      <c r="K119" s="907"/>
      <c r="L119" s="908" t="s">
        <v>1313</v>
      </c>
      <c r="M119" s="907" t="s">
        <v>1317</v>
      </c>
      <c r="N119" s="917"/>
      <c r="O119" s="449"/>
    </row>
    <row r="120" spans="2:15" ht="14.65" hidden="1" customHeight="1" outlineLevel="1" thickBot="1">
      <c r="B120" s="894"/>
      <c r="C120" s="896"/>
      <c r="D120" s="898"/>
      <c r="E120" s="898"/>
      <c r="F120" s="898"/>
      <c r="G120" s="898"/>
      <c r="H120" s="502" t="s">
        <v>1309</v>
      </c>
      <c r="I120" s="502" t="s">
        <v>1308</v>
      </c>
      <c r="J120" s="502" t="s">
        <v>1309</v>
      </c>
      <c r="K120" s="502" t="s">
        <v>1308</v>
      </c>
      <c r="L120" s="901"/>
      <c r="M120" s="903"/>
      <c r="N120" s="904"/>
      <c r="O120" s="449"/>
    </row>
    <row r="121" spans="2:15" ht="14.25" hidden="1" customHeight="1" outlineLevel="1">
      <c r="B121" s="504" t="s">
        <v>1331</v>
      </c>
      <c r="C121" s="15" t="str">
        <f>IFERROR(VLOOKUP(B121,MasterSheet!$B$6:$N$150,3,),"n/a")</f>
        <v>Injected Whole Chicken (1.25kg)</v>
      </c>
      <c r="D121" s="499">
        <f>1250/9*4</f>
        <v>555.55555555555554</v>
      </c>
      <c r="E121" s="505" t="str">
        <f>IFERROR(VLOOKUP(B121,[4]MasterSheet!B55:N234,10,),"N/a")</f>
        <v>N/a</v>
      </c>
      <c r="F121" s="506">
        <f>IFERROR(VLOOKUP(B121,MasterSheet!$B$6:$N$150,11,),"N/a")</f>
        <v>34.314223999999996</v>
      </c>
      <c r="G121" s="488">
        <f t="shared" ref="G121:G128" si="38">IFERROR(D121*F121,"_")</f>
        <v>19063.457777777774</v>
      </c>
      <c r="H121" s="905">
        <f>SUM(G121:G127)</f>
        <v>32679.614567901233</v>
      </c>
      <c r="I121" s="905">
        <f>SUM(G121:G125,G127:G128)</f>
        <v>33879.614567901233</v>
      </c>
      <c r="J121" s="491">
        <f>D121*$J$118</f>
        <v>6527.7777777777774</v>
      </c>
      <c r="K121" s="501">
        <f>D121*$K$118</f>
        <v>7638.8888888888887</v>
      </c>
      <c r="L121" s="501">
        <f>SUM(J121:K121)</f>
        <v>14166.666666666666</v>
      </c>
      <c r="M121" s="493"/>
      <c r="N121" s="507"/>
      <c r="O121" s="449"/>
    </row>
    <row r="122" spans="2:15" ht="14.25" hidden="1" customHeight="1" outlineLevel="1">
      <c r="B122" s="508" t="s">
        <v>1327</v>
      </c>
      <c r="C122" s="15" t="str">
        <f>IFERROR(VLOOKUP(B122,MasterSheet!$B$6:$N$150,3,),"n/a")</f>
        <v>Palm Oil</v>
      </c>
      <c r="D122" s="499">
        <f>D121*10%</f>
        <v>55.555555555555557</v>
      </c>
      <c r="E122" s="505" t="str">
        <f>IFERROR(VLOOKUP(B122,[4]MasterSheet!$B$6:$N$515,10,),"N/a")</f>
        <v>g</v>
      </c>
      <c r="F122" s="506">
        <f>IFERROR(VLOOKUP(B122,MasterSheet!$B$6:$N$150,11,),"N/a")</f>
        <v>25.580404040404041</v>
      </c>
      <c r="G122" s="488">
        <f t="shared" si="38"/>
        <v>1421.1335578002245</v>
      </c>
      <c r="H122" s="905"/>
      <c r="I122" s="905"/>
      <c r="J122" s="491">
        <f t="shared" ref="J122:J127" si="39">D122*$J$118</f>
        <v>652.77777777777783</v>
      </c>
      <c r="K122" s="501">
        <f>D122*$K$118</f>
        <v>763.88888888888891</v>
      </c>
      <c r="L122" s="501">
        <f t="shared" ref="L122:L128" si="40">SUM(J122:K122)</f>
        <v>1416.6666666666667</v>
      </c>
      <c r="M122" s="493"/>
      <c r="N122" s="507"/>
      <c r="O122" s="449"/>
    </row>
    <row r="123" spans="2:15" ht="14.25" hidden="1" customHeight="1" outlineLevel="1">
      <c r="B123" s="508" t="s">
        <v>1354</v>
      </c>
      <c r="C123" s="15" t="str">
        <f>IFERROR(VLOOKUP(B123,MasterSheet!$B$6:$N$150,3,),"n/a")</f>
        <v>Mala Hot Sauce</v>
      </c>
      <c r="D123" s="499">
        <f>D121*12%</f>
        <v>66.666666666666657</v>
      </c>
      <c r="E123" s="505" t="str">
        <f>IFERROR(VLOOKUP(B123,[4]MasterSheet!$B$6:$N$515,10,),"N/a")</f>
        <v>g</v>
      </c>
      <c r="F123" s="506">
        <f>IFERROR(VLOOKUP(B123,MasterSheet!$B$6:$N$150,11,),"N/a")</f>
        <v>125.26041666666667</v>
      </c>
      <c r="G123" s="488">
        <f t="shared" si="38"/>
        <v>8350.6944444444434</v>
      </c>
      <c r="H123" s="905"/>
      <c r="I123" s="905"/>
      <c r="J123" s="491">
        <f t="shared" si="39"/>
        <v>783.33333333333326</v>
      </c>
      <c r="K123" s="501">
        <f>D123*$K$118</f>
        <v>916.66666666666652</v>
      </c>
      <c r="L123" s="501">
        <f t="shared" si="40"/>
        <v>1699.9999999999998</v>
      </c>
      <c r="M123" s="493"/>
      <c r="N123" s="507"/>
      <c r="O123" s="449"/>
    </row>
    <row r="124" spans="2:15" ht="14.25" hidden="1" customHeight="1" outlineLevel="1">
      <c r="B124" s="508" t="s">
        <v>1355</v>
      </c>
      <c r="C124" s="15" t="str">
        <f>IFERROR(VLOOKUP(B124,MasterSheet!$B$6:$N$150,3,),"n/a")</f>
        <v>Crushed Peanut</v>
      </c>
      <c r="D124" s="499">
        <v>4</v>
      </c>
      <c r="E124" s="505" t="str">
        <f>IFERROR(VLOOKUP(B124,[4]MasterSheet!B57:N237,10,),"N/a")</f>
        <v>g</v>
      </c>
      <c r="F124" s="506">
        <f>IFERROR(VLOOKUP(B124,MasterSheet!$B$6:$N$150,11,),"N/a")</f>
        <v>62.525252525252526</v>
      </c>
      <c r="G124" s="488">
        <f t="shared" si="38"/>
        <v>250.1010101010101</v>
      </c>
      <c r="H124" s="905"/>
      <c r="I124" s="905"/>
      <c r="J124" s="491">
        <f t="shared" si="39"/>
        <v>47</v>
      </c>
      <c r="K124" s="501">
        <f>D124*$K$118</f>
        <v>55</v>
      </c>
      <c r="L124" s="501">
        <f t="shared" si="40"/>
        <v>102</v>
      </c>
      <c r="M124" s="493"/>
      <c r="N124" s="507"/>
      <c r="O124" s="449"/>
    </row>
    <row r="125" spans="2:15" ht="14.25" hidden="1" customHeight="1" outlineLevel="1">
      <c r="B125" s="525" t="s">
        <v>1328</v>
      </c>
      <c r="C125" s="15" t="str">
        <f>VLOOKUP(B125,CK!$B$8:$L$87,4,)</f>
        <v>Battering Powder Mix C Solution(Yellow)</v>
      </c>
      <c r="D125" s="499">
        <f>D121*21%</f>
        <v>116.66666666666666</v>
      </c>
      <c r="E125" s="505" t="str">
        <f>VLOOKUP(B125,[4]CK!$B$8:$L$87,9,)</f>
        <v>g</v>
      </c>
      <c r="F125" s="506">
        <f>VLOOKUP(B125,CK!$B$8:$L$87,10,)</f>
        <v>23.80952380952381</v>
      </c>
      <c r="G125" s="488">
        <f t="shared" si="38"/>
        <v>2777.7777777777778</v>
      </c>
      <c r="H125" s="905"/>
      <c r="I125" s="905"/>
      <c r="J125" s="491">
        <f t="shared" si="39"/>
        <v>1370.8333333333333</v>
      </c>
      <c r="K125" s="501">
        <f>D125*$K$118</f>
        <v>1604.1666666666665</v>
      </c>
      <c r="L125" s="501">
        <f t="shared" si="40"/>
        <v>2975</v>
      </c>
      <c r="M125" s="493"/>
      <c r="N125" s="507"/>
      <c r="O125" s="449"/>
    </row>
    <row r="126" spans="2:15" ht="14.25" hidden="1" customHeight="1" outlineLevel="1">
      <c r="B126" s="523" t="s">
        <v>1343</v>
      </c>
      <c r="C126" s="15" t="str">
        <f>IFERROR(VLOOKUP(B126,MasterSheet!$B$6:$N$421,3,),"n/a")</f>
        <v>BB.Q Papertray</v>
      </c>
      <c r="D126" s="510">
        <v>1</v>
      </c>
      <c r="E126" s="505" t="str">
        <f>IFERROR(VLOOKUP(B126,[4]MasterSheet!B57:N506,10,),"N/a")</f>
        <v>ea</v>
      </c>
      <c r="F126" s="506">
        <f>IFERROR(VLOOKUP(B126,MasterSheet!$B$6:$N$421,11,),"N/a")</f>
        <v>600</v>
      </c>
      <c r="G126" s="488">
        <f t="shared" si="38"/>
        <v>600</v>
      </c>
      <c r="H126" s="905"/>
      <c r="I126" s="905"/>
      <c r="J126" s="491">
        <f t="shared" si="39"/>
        <v>11.75</v>
      </c>
      <c r="K126" s="501"/>
      <c r="L126" s="501">
        <f t="shared" si="40"/>
        <v>11.75</v>
      </c>
      <c r="M126" s="493" t="s">
        <v>1345</v>
      </c>
      <c r="N126" s="507"/>
      <c r="O126" s="449"/>
    </row>
    <row r="127" spans="2:15" ht="14.25" hidden="1" customHeight="1" outlineLevel="1">
      <c r="B127" s="523" t="s">
        <v>1347</v>
      </c>
      <c r="C127" s="15" t="str">
        <f>IFERROR(VLOOKUP(B127,MasterSheet!$B$6:$N$421,3,),"n/a")</f>
        <v>PARCHMENT PAPER / WRAPPING RICE</v>
      </c>
      <c r="D127" s="510">
        <v>1</v>
      </c>
      <c r="E127" s="505" t="str">
        <f>IFERROR(VLOOKUP(B127,[4]MasterSheet!B57:N507,10,),"N/a")</f>
        <v>ea</v>
      </c>
      <c r="F127" s="506">
        <f>IFERROR(VLOOKUP(B127,MasterSheet!$B$6:$N$421,11,),"N/a")</f>
        <v>216.45</v>
      </c>
      <c r="G127" s="488">
        <f t="shared" si="38"/>
        <v>216.45</v>
      </c>
      <c r="H127" s="905"/>
      <c r="I127" s="905"/>
      <c r="J127" s="491">
        <f t="shared" si="39"/>
        <v>11.75</v>
      </c>
      <c r="K127" s="501">
        <f>D127*$K$118</f>
        <v>13.75</v>
      </c>
      <c r="L127" s="501">
        <f t="shared" si="40"/>
        <v>25.5</v>
      </c>
      <c r="M127" s="493"/>
      <c r="N127" s="507"/>
      <c r="O127" s="449"/>
    </row>
    <row r="128" spans="2:15" ht="14.65" hidden="1" customHeight="1" outlineLevel="1" thickBot="1">
      <c r="B128" s="524" t="s">
        <v>1344</v>
      </c>
      <c r="C128" s="512" t="str">
        <f>IFERROR(VLOOKUP(B128,MasterSheet!$B$6:$N$421,3,),"n/a")</f>
        <v>BB.Q Takeaway Box (XL)</v>
      </c>
      <c r="D128" s="513">
        <v>1</v>
      </c>
      <c r="E128" s="514" t="str">
        <f>IFERROR(VLOOKUP(B128,[4]MasterSheet!B57:N506,10,),"N/a")</f>
        <v>ea</v>
      </c>
      <c r="F128" s="515">
        <f>IFERROR(VLOOKUP(B128,MasterSheet!$B$6:$N$421,11,),"N/a")</f>
        <v>1800</v>
      </c>
      <c r="G128" s="516">
        <f t="shared" si="38"/>
        <v>1800</v>
      </c>
      <c r="H128" s="916"/>
      <c r="I128" s="916"/>
      <c r="J128" s="517"/>
      <c r="K128" s="518">
        <f>D128*$K$118</f>
        <v>13.75</v>
      </c>
      <c r="L128" s="518">
        <f t="shared" si="40"/>
        <v>13.75</v>
      </c>
      <c r="M128" s="519" t="s">
        <v>1346</v>
      </c>
      <c r="N128" s="520"/>
      <c r="O128" s="449"/>
    </row>
    <row r="129" spans="2:20" collapsed="1">
      <c r="B129" s="219" t="s">
        <v>1376</v>
      </c>
      <c r="C129" s="15" t="s">
        <v>1356</v>
      </c>
      <c r="D129" s="184">
        <f>E129*(1+$E$8)</f>
        <v>93500.000000000015</v>
      </c>
      <c r="E129" s="184">
        <v>85000</v>
      </c>
      <c r="F129" s="174">
        <f>H132</f>
        <v>31694.606676487088</v>
      </c>
      <c r="G129" s="488">
        <f>I132</f>
        <v>32894.606676487092</v>
      </c>
      <c r="H129" s="500">
        <f>F129/E129</f>
        <v>0.37287772560573046</v>
      </c>
      <c r="I129" s="500">
        <f>G129/E129</f>
        <v>0.38699537266455403</v>
      </c>
      <c r="J129" s="491">
        <f>VLOOKUP(B129,'SALES MIX'!B14:J104,4)</f>
        <v>48.75</v>
      </c>
      <c r="K129" s="501">
        <f>VLOOKUP(B129,'SALES MIX'!B14:J104,5)</f>
        <v>38.5</v>
      </c>
      <c r="L129" s="221">
        <f>((F129*J129)+(G129*K129))/((J129+K129)*E129)</f>
        <v>0.37910728906435176</v>
      </c>
      <c r="M129" s="493"/>
      <c r="N129" s="493"/>
      <c r="O129" s="449"/>
    </row>
    <row r="130" spans="2:20" ht="14.65" hidden="1" customHeight="1" outlineLevel="1" thickTop="1">
      <c r="B130" s="913" t="s">
        <v>1304</v>
      </c>
      <c r="C130" s="914" t="s">
        <v>1305</v>
      </c>
      <c r="D130" s="915" t="s">
        <v>1306</v>
      </c>
      <c r="E130" s="915" t="s">
        <v>60</v>
      </c>
      <c r="F130" s="915" t="s">
        <v>1307</v>
      </c>
      <c r="G130" s="915" t="s">
        <v>1315</v>
      </c>
      <c r="H130" s="907" t="s">
        <v>1312</v>
      </c>
      <c r="I130" s="907"/>
      <c r="J130" s="907" t="s">
        <v>1319</v>
      </c>
      <c r="K130" s="907"/>
      <c r="L130" s="908" t="s">
        <v>1313</v>
      </c>
      <c r="M130" s="907" t="s">
        <v>1317</v>
      </c>
      <c r="N130" s="917"/>
      <c r="O130" s="449" t="e">
        <f>((#REF!-#REF!)/#REF!)*100</f>
        <v>#REF!</v>
      </c>
      <c r="T130" s="240"/>
    </row>
    <row r="131" spans="2:20" ht="14.65" hidden="1" customHeight="1" outlineLevel="1" thickBot="1">
      <c r="B131" s="894"/>
      <c r="C131" s="896"/>
      <c r="D131" s="898"/>
      <c r="E131" s="898"/>
      <c r="F131" s="898"/>
      <c r="G131" s="898"/>
      <c r="H131" s="502" t="s">
        <v>1309</v>
      </c>
      <c r="I131" s="502" t="s">
        <v>1308</v>
      </c>
      <c r="J131" s="502" t="s">
        <v>1309</v>
      </c>
      <c r="K131" s="502" t="s">
        <v>1308</v>
      </c>
      <c r="L131" s="901"/>
      <c r="M131" s="903"/>
      <c r="N131" s="904"/>
      <c r="O131" s="449" t="e">
        <f>((#REF!-#REF!)/#REF!)*100</f>
        <v>#REF!</v>
      </c>
    </row>
    <row r="132" spans="2:20" ht="14.25" hidden="1" customHeight="1" outlineLevel="1">
      <c r="B132" s="504" t="s">
        <v>1331</v>
      </c>
      <c r="C132" s="15" t="str">
        <f>IFERROR(VLOOKUP(B132,MasterSheet!$B$6:$N$150,3,),"n/a")</f>
        <v>Injected Whole Chicken (1.25kg)</v>
      </c>
      <c r="D132" s="499">
        <f>1250/9*4</f>
        <v>555.55555555555554</v>
      </c>
      <c r="E132" s="505" t="str">
        <f>IFERROR(VLOOKUP(B132,[4]MasterSheet!B57:N245,10,),"N/a")</f>
        <v>N/a</v>
      </c>
      <c r="F132" s="506">
        <f>IFERROR(VLOOKUP(B132,MasterSheet!$B$6:$N$150,11,),"N/a")</f>
        <v>34.314223999999996</v>
      </c>
      <c r="G132" s="488">
        <f t="shared" ref="G132:G139" si="41">IFERROR(D132*F132,"_")</f>
        <v>19063.457777777774</v>
      </c>
      <c r="H132" s="905">
        <f>SUM(G132:G138)</f>
        <v>31694.606676487088</v>
      </c>
      <c r="I132" s="905">
        <f>SUM(G132:G136,G138:G139)</f>
        <v>32894.606676487092</v>
      </c>
      <c r="J132" s="491">
        <f>D132*$J$129</f>
        <v>27083.333333333332</v>
      </c>
      <c r="K132" s="501">
        <f>D132*$K$129</f>
        <v>21388.888888888887</v>
      </c>
      <c r="L132" s="501">
        <f>SUM(J132:K132)</f>
        <v>48472.222222222219</v>
      </c>
      <c r="M132" s="493"/>
      <c r="N132" s="507"/>
      <c r="O132" s="449" t="e">
        <f>((#REF!-#REF!)/#REF!)*100</f>
        <v>#REF!</v>
      </c>
    </row>
    <row r="133" spans="2:20" ht="14.25" hidden="1" customHeight="1" outlineLevel="1">
      <c r="B133" s="508" t="s">
        <v>1327</v>
      </c>
      <c r="C133" s="15" t="str">
        <f>IFERROR(VLOOKUP(B133,MasterSheet!$B$6:$N$150,3,),"n/a")</f>
        <v>Palm Oil</v>
      </c>
      <c r="D133" s="499">
        <f>D132*10%</f>
        <v>55.555555555555557</v>
      </c>
      <c r="E133" s="505" t="str">
        <f>IFERROR(VLOOKUP(B133,[4]MasterSheet!$B$6:$N$515,10,),"N/a")</f>
        <v>g</v>
      </c>
      <c r="F133" s="506">
        <f>IFERROR(VLOOKUP(B133,MasterSheet!$B$6:$N$150,11,),"N/a")</f>
        <v>25.580404040404041</v>
      </c>
      <c r="G133" s="488">
        <f t="shared" si="41"/>
        <v>1421.1335578002245</v>
      </c>
      <c r="H133" s="905"/>
      <c r="I133" s="905"/>
      <c r="J133" s="491">
        <f t="shared" ref="J133:J138" si="42">D133*$J$129</f>
        <v>2708.3333333333335</v>
      </c>
      <c r="K133" s="501">
        <f>D133*$K$129</f>
        <v>2138.8888888888891</v>
      </c>
      <c r="L133" s="501">
        <f t="shared" ref="L133:L139" si="43">SUM(J133:K133)</f>
        <v>4847.2222222222226</v>
      </c>
      <c r="M133" s="493"/>
      <c r="N133" s="507"/>
      <c r="O133" s="449" t="e">
        <f>((#REF!-#REF!)/#REF!)*100</f>
        <v>#REF!</v>
      </c>
    </row>
    <row r="134" spans="2:20" ht="14.25" hidden="1" customHeight="1" outlineLevel="1">
      <c r="B134" s="508" t="s">
        <v>1357</v>
      </c>
      <c r="C134" s="15" t="str">
        <f>IFERROR(VLOOKUP(B134,MasterSheet!$B$6:$N$150,3,),"n/a")</f>
        <v>Garlic Flavour Soy Sauce</v>
      </c>
      <c r="D134" s="499">
        <f>D132*11%</f>
        <v>61.111111111111107</v>
      </c>
      <c r="E134" s="505" t="str">
        <f>IFERROR(VLOOKUP(B134,[4]MasterSheet!$B$6:$N$515,10,),"N/a")</f>
        <v>g</v>
      </c>
      <c r="F134" s="506">
        <f>IFERROR(VLOOKUP(B134,MasterSheet!$B$6:$N$150,11,),"N/a")</f>
        <v>112.734375</v>
      </c>
      <c r="G134" s="488">
        <f t="shared" si="41"/>
        <v>6889.3229166666661</v>
      </c>
      <c r="H134" s="905"/>
      <c r="I134" s="905"/>
      <c r="J134" s="491">
        <f t="shared" si="42"/>
        <v>2979.1666666666665</v>
      </c>
      <c r="K134" s="501">
        <f>D134*$K$129</f>
        <v>2352.7777777777778</v>
      </c>
      <c r="L134" s="501">
        <f t="shared" si="43"/>
        <v>5331.9444444444443</v>
      </c>
      <c r="M134" s="493"/>
      <c r="N134" s="507"/>
      <c r="O134" s="449" t="e">
        <f>((#REF!-#REF!)/#REF!)*100</f>
        <v>#REF!</v>
      </c>
    </row>
    <row r="135" spans="2:20" ht="14.25" hidden="1" customHeight="1" outlineLevel="1">
      <c r="B135" s="508" t="s">
        <v>1358</v>
      </c>
      <c r="C135" s="15" t="str">
        <f>IFERROR(VLOOKUP(B135,MasterSheet!$B$6:$N$150,3,),"n/a")</f>
        <v>Garlic Chip</v>
      </c>
      <c r="D135" s="499">
        <f>2*4</f>
        <v>8</v>
      </c>
      <c r="E135" s="505" t="str">
        <f>IFERROR(VLOOKUP(B135,[4]MasterSheet!B57:N248,10,),"N/a")</f>
        <v>g</v>
      </c>
      <c r="F135" s="506">
        <f>IFERROR(VLOOKUP(B135,MasterSheet!$B$6:$N$150,11,),"N/a")</f>
        <v>90.808080808080817</v>
      </c>
      <c r="G135" s="488">
        <f t="shared" si="41"/>
        <v>726.46464646464653</v>
      </c>
      <c r="H135" s="905"/>
      <c r="I135" s="905"/>
      <c r="J135" s="491">
        <f t="shared" si="42"/>
        <v>390</v>
      </c>
      <c r="K135" s="501">
        <f>D135*$K$129</f>
        <v>308</v>
      </c>
      <c r="L135" s="501">
        <f t="shared" si="43"/>
        <v>698</v>
      </c>
      <c r="M135" s="493"/>
      <c r="N135" s="507"/>
      <c r="O135" s="449" t="e">
        <f>((#REF!-#REF!)/#REF!)*100</f>
        <v>#REF!</v>
      </c>
    </row>
    <row r="136" spans="2:20" ht="14.25" hidden="1" customHeight="1" outlineLevel="1">
      <c r="B136" s="525" t="s">
        <v>1328</v>
      </c>
      <c r="C136" s="15" t="str">
        <f>VLOOKUP(B136,CK!$B$8:$L$87,4,)</f>
        <v>Battering Powder Mix C Solution(Yellow)</v>
      </c>
      <c r="D136" s="499">
        <f>D132*21%</f>
        <v>116.66666666666666</v>
      </c>
      <c r="E136" s="505" t="str">
        <f>VLOOKUP(B136,[4]CK!$B$8:$L$87,9,)</f>
        <v>g</v>
      </c>
      <c r="F136" s="506">
        <f>VLOOKUP(B136,CK!$B$8:$L$87,10,)</f>
        <v>23.80952380952381</v>
      </c>
      <c r="G136" s="488">
        <f t="shared" si="41"/>
        <v>2777.7777777777778</v>
      </c>
      <c r="H136" s="905"/>
      <c r="I136" s="905"/>
      <c r="J136" s="491">
        <f t="shared" si="42"/>
        <v>5687.4999999999991</v>
      </c>
      <c r="K136" s="501">
        <f>D136*$K$129</f>
        <v>4491.6666666666661</v>
      </c>
      <c r="L136" s="501">
        <f t="shared" si="43"/>
        <v>10179.166666666664</v>
      </c>
      <c r="M136" s="493"/>
      <c r="N136" s="507"/>
      <c r="O136" s="449" t="e">
        <f>((#REF!-#REF!)/#REF!)*100</f>
        <v>#REF!</v>
      </c>
    </row>
    <row r="137" spans="2:20" ht="14.25" hidden="1" customHeight="1" outlineLevel="1">
      <c r="B137" s="523" t="s">
        <v>1343</v>
      </c>
      <c r="C137" s="15" t="str">
        <f>IFERROR(VLOOKUP(B137,MasterSheet!$B$6:$N$421,3,),"n/a")</f>
        <v>BB.Q Papertray</v>
      </c>
      <c r="D137" s="510">
        <v>1</v>
      </c>
      <c r="E137" s="505" t="str">
        <f>IFERROR(VLOOKUP(B137,[4]MasterSheet!B57:N517,10,),"N/a")</f>
        <v>ea</v>
      </c>
      <c r="F137" s="506">
        <f>IFERROR(VLOOKUP(B137,MasterSheet!$B$6:$N$421,11,),"N/a")</f>
        <v>600</v>
      </c>
      <c r="G137" s="488">
        <f t="shared" si="41"/>
        <v>600</v>
      </c>
      <c r="H137" s="905"/>
      <c r="I137" s="905"/>
      <c r="J137" s="491">
        <f t="shared" si="42"/>
        <v>48.75</v>
      </c>
      <c r="K137" s="501"/>
      <c r="L137" s="501">
        <f t="shared" si="43"/>
        <v>48.75</v>
      </c>
      <c r="M137" s="493" t="s">
        <v>1345</v>
      </c>
      <c r="N137" s="507"/>
      <c r="O137" s="449" t="e">
        <f>((#REF!-#REF!)/#REF!)*100</f>
        <v>#REF!</v>
      </c>
    </row>
    <row r="138" spans="2:20" ht="14.25" hidden="1" customHeight="1" outlineLevel="1">
      <c r="B138" s="523" t="s">
        <v>1347</v>
      </c>
      <c r="C138" s="15" t="str">
        <f>IFERROR(VLOOKUP(B138,MasterSheet!$B$6:$N$421,3,),"n/a")</f>
        <v>PARCHMENT PAPER / WRAPPING RICE</v>
      </c>
      <c r="D138" s="510">
        <v>1</v>
      </c>
      <c r="E138" s="505" t="str">
        <f>IFERROR(VLOOKUP(B138,[4]MasterSheet!B57:N518,10,),"N/a")</f>
        <v>ea</v>
      </c>
      <c r="F138" s="506">
        <f>IFERROR(VLOOKUP(B138,MasterSheet!$B$6:$N$421,11,),"N/a")</f>
        <v>216.45</v>
      </c>
      <c r="G138" s="488">
        <f t="shared" si="41"/>
        <v>216.45</v>
      </c>
      <c r="H138" s="905"/>
      <c r="I138" s="905"/>
      <c r="J138" s="491">
        <f t="shared" si="42"/>
        <v>48.75</v>
      </c>
      <c r="K138" s="501">
        <f>D138*$K$129</f>
        <v>38.5</v>
      </c>
      <c r="L138" s="501">
        <f t="shared" si="43"/>
        <v>87.25</v>
      </c>
      <c r="M138" s="493"/>
      <c r="N138" s="507"/>
    </row>
    <row r="139" spans="2:20" ht="14.65" hidden="1" customHeight="1" outlineLevel="1" thickBot="1">
      <c r="B139" s="524" t="s">
        <v>1344</v>
      </c>
      <c r="C139" s="512" t="str">
        <f>IFERROR(VLOOKUP(B139,MasterSheet!$B$6:$N$421,3,),"n/a")</f>
        <v>BB.Q Takeaway Box (XL)</v>
      </c>
      <c r="D139" s="513">
        <v>1</v>
      </c>
      <c r="E139" s="514" t="str">
        <f>IFERROR(VLOOKUP(B139,[4]MasterSheet!B57:N517,10,),"N/a")</f>
        <v>ea</v>
      </c>
      <c r="F139" s="515">
        <f>IFERROR(VLOOKUP(B139,MasterSheet!$B$6:$N$421,11,),"N/a")</f>
        <v>1800</v>
      </c>
      <c r="G139" s="516">
        <f t="shared" si="41"/>
        <v>1800</v>
      </c>
      <c r="H139" s="916"/>
      <c r="I139" s="916"/>
      <c r="J139" s="517"/>
      <c r="K139" s="518">
        <f>D139*$K$129</f>
        <v>38.5</v>
      </c>
      <c r="L139" s="518">
        <f t="shared" si="43"/>
        <v>38.5</v>
      </c>
      <c r="M139" s="519" t="s">
        <v>1346</v>
      </c>
      <c r="N139" s="520"/>
      <c r="O139" s="449" t="e">
        <f>((#REF!-#REF!)/#REF!)*100</f>
        <v>#REF!</v>
      </c>
    </row>
    <row r="140" spans="2:20" collapsed="1">
      <c r="B140" s="219" t="s">
        <v>1377</v>
      </c>
      <c r="C140" s="15" t="s">
        <v>1359</v>
      </c>
      <c r="D140" s="184">
        <f>E140*(1+$E$8)</f>
        <v>93500.000000000015</v>
      </c>
      <c r="E140" s="184">
        <v>85000</v>
      </c>
      <c r="F140" s="185">
        <f>H143</f>
        <v>31904.987455217371</v>
      </c>
      <c r="G140" s="489">
        <f>I143</f>
        <v>33104.987455217371</v>
      </c>
      <c r="H140" s="500">
        <f>F140/E140</f>
        <v>0.3753527935907926</v>
      </c>
      <c r="I140" s="500">
        <f>G140/E140</f>
        <v>0.38947044064961611</v>
      </c>
      <c r="J140" s="563">
        <f>VLOOKUP(B140,'SALES MIX'!B14:J104,4)</f>
        <v>0</v>
      </c>
      <c r="K140" s="501">
        <f>VLOOKUP(B140,'SALES MIX'!B14:J104,5)</f>
        <v>0</v>
      </c>
      <c r="L140" s="221" t="e">
        <f>((F140*J140)+(G140*K140))/((J140+K140)*E140)</f>
        <v>#DIV/0!</v>
      </c>
      <c r="O140" t="e">
        <f>((#REF!-#REF!)/#REF!)*100</f>
        <v>#REF!</v>
      </c>
    </row>
    <row r="141" spans="2:20" ht="14.65" hidden="1" customHeight="1" outlineLevel="1" thickTop="1">
      <c r="B141" s="913" t="s">
        <v>1304</v>
      </c>
      <c r="C141" s="914" t="s">
        <v>1305</v>
      </c>
      <c r="D141" s="915" t="s">
        <v>1306</v>
      </c>
      <c r="E141" s="915" t="s">
        <v>60</v>
      </c>
      <c r="F141" s="915" t="s">
        <v>1307</v>
      </c>
      <c r="G141" s="915" t="s">
        <v>1315</v>
      </c>
      <c r="H141" s="907" t="s">
        <v>1312</v>
      </c>
      <c r="I141" s="907"/>
      <c r="J141" s="907" t="s">
        <v>1319</v>
      </c>
      <c r="K141" s="907"/>
      <c r="L141" s="908" t="s">
        <v>1313</v>
      </c>
      <c r="M141" s="907" t="s">
        <v>1317</v>
      </c>
      <c r="N141" s="917"/>
      <c r="O141" t="e">
        <f>((#REF!-#REF!)/#REF!)*100</f>
        <v>#REF!</v>
      </c>
    </row>
    <row r="142" spans="2:20" ht="14.65" hidden="1" customHeight="1" outlineLevel="1" thickBot="1">
      <c r="B142" s="894"/>
      <c r="C142" s="896"/>
      <c r="D142" s="898"/>
      <c r="E142" s="898"/>
      <c r="F142" s="898"/>
      <c r="G142" s="898"/>
      <c r="H142" s="502" t="s">
        <v>1309</v>
      </c>
      <c r="I142" s="502" t="s">
        <v>1308</v>
      </c>
      <c r="J142" s="502" t="s">
        <v>1309</v>
      </c>
      <c r="K142" s="502" t="s">
        <v>1308</v>
      </c>
      <c r="L142" s="901"/>
      <c r="M142" s="903"/>
      <c r="N142" s="904"/>
    </row>
    <row r="143" spans="2:20" ht="14.25" hidden="1" customHeight="1" outlineLevel="1">
      <c r="B143" s="504" t="s">
        <v>1331</v>
      </c>
      <c r="C143" s="15" t="str">
        <f>IFERROR(VLOOKUP(B143,MasterSheet!$B$6:$N$150,3,),"n/a")</f>
        <v>Injected Whole Chicken (1.25kg)</v>
      </c>
      <c r="D143" s="499">
        <f>1250/9*4</f>
        <v>555.55555555555554</v>
      </c>
      <c r="E143" s="505" t="str">
        <f>IFERROR(VLOOKUP(B143,[4]MasterSheet!B60:N256,10,),"N/a")</f>
        <v>N/a</v>
      </c>
      <c r="F143" s="506">
        <f>IFERROR(VLOOKUP(B143,MasterSheet!$B$6:$N$150,11,),"N/a")</f>
        <v>34.314223999999996</v>
      </c>
      <c r="G143" s="488">
        <f t="shared" ref="G143:G150" si="44">IFERROR(D143*F143,"_")</f>
        <v>19063.457777777774</v>
      </c>
      <c r="H143" s="905">
        <f>SUM(G143:G149)</f>
        <v>31904.987455217371</v>
      </c>
      <c r="I143" s="905">
        <f>SUM(G143:G147,G149:G150)</f>
        <v>33104.987455217371</v>
      </c>
      <c r="J143" s="491">
        <f>D143*$J$140</f>
        <v>0</v>
      </c>
      <c r="K143" s="501">
        <f>D143*$K$140</f>
        <v>0</v>
      </c>
      <c r="L143" s="501">
        <f>SUM(J143:K143)</f>
        <v>0</v>
      </c>
      <c r="M143" s="493"/>
      <c r="N143" s="507"/>
    </row>
    <row r="144" spans="2:20" ht="14.25" hidden="1" customHeight="1" outlineLevel="1">
      <c r="B144" s="508" t="s">
        <v>1327</v>
      </c>
      <c r="C144" s="15" t="str">
        <f>IFERROR(VLOOKUP(B144,MasterSheet!$B$6:$N$150,3,),"n/a")</f>
        <v>Palm Oil</v>
      </c>
      <c r="D144" s="499">
        <f>D143*10%</f>
        <v>55.555555555555557</v>
      </c>
      <c r="E144" s="505" t="str">
        <f>IFERROR(VLOOKUP(B144,[4]MasterSheet!$B$6:$N$515,10,),"N/a")</f>
        <v>g</v>
      </c>
      <c r="F144" s="506">
        <f>IFERROR(VLOOKUP(B144,MasterSheet!$B$6:$N$150,11,),"N/a")</f>
        <v>25.580404040404041</v>
      </c>
      <c r="G144" s="488">
        <f t="shared" si="44"/>
        <v>1421.1335578002245</v>
      </c>
      <c r="H144" s="905"/>
      <c r="I144" s="905"/>
      <c r="J144" s="491">
        <f t="shared" ref="J144:J149" si="45">D144*$J$140</f>
        <v>0</v>
      </c>
      <c r="K144" s="501">
        <f>D144*$K$140</f>
        <v>0</v>
      </c>
      <c r="L144" s="501">
        <f t="shared" ref="L144:L150" si="46">SUM(J144:K144)</f>
        <v>0</v>
      </c>
      <c r="M144" s="493"/>
      <c r="N144" s="507"/>
    </row>
    <row r="145" spans="2:14" ht="14.25" hidden="1" customHeight="1" outlineLevel="1">
      <c r="B145" s="508" t="s">
        <v>1360</v>
      </c>
      <c r="C145" s="15" t="str">
        <f>IFERROR(VLOOKUP(B145,MasterSheet!$B$6:$N$150,3,),"n/a")</f>
        <v>Honey pepper Sauce</v>
      </c>
      <c r="D145" s="499">
        <f>D143*11%</f>
        <v>61.111111111111107</v>
      </c>
      <c r="E145" s="505" t="str">
        <f>IFERROR(VLOOKUP(B145,[4]MasterSheet!$B$6:$N$515,10,),"N/a")</f>
        <v>g</v>
      </c>
      <c r="F145" s="506">
        <f>IFERROR(VLOOKUP(B145,MasterSheet!$B$6:$N$150,11,),"N/a")</f>
        <v>118.99739583333333</v>
      </c>
      <c r="G145" s="488">
        <f t="shared" si="44"/>
        <v>7272.0630787037026</v>
      </c>
      <c r="H145" s="905"/>
      <c r="I145" s="905"/>
      <c r="J145" s="491">
        <f t="shared" si="45"/>
        <v>0</v>
      </c>
      <c r="K145" s="501">
        <f>D145*$K$140</f>
        <v>0</v>
      </c>
      <c r="L145" s="501">
        <f t="shared" si="46"/>
        <v>0</v>
      </c>
      <c r="M145" s="493"/>
      <c r="N145" s="507"/>
    </row>
    <row r="146" spans="2:14" ht="14.25" hidden="1" customHeight="1" outlineLevel="1">
      <c r="B146" s="508" t="s">
        <v>1361</v>
      </c>
      <c r="C146" s="15" t="str">
        <f>IFERROR(VLOOKUP(B146,MasterSheet!$B$6:$N$150,3,),"n/a")</f>
        <v>Scallion(Green Onion)</v>
      </c>
      <c r="D146" s="499">
        <v>20</v>
      </c>
      <c r="E146" s="505" t="str">
        <f>IFERROR(VLOOKUP(B146,[4]MasterSheet!B60:N259,10,),"N/a")</f>
        <v>g</v>
      </c>
      <c r="F146" s="506">
        <f>IFERROR(VLOOKUP(B146,MasterSheet!$B$6:$N$150,11,),"N/a")</f>
        <v>27.705263157894738</v>
      </c>
      <c r="G146" s="488">
        <f t="shared" si="44"/>
        <v>554.1052631578948</v>
      </c>
      <c r="H146" s="905"/>
      <c r="I146" s="905"/>
      <c r="J146" s="491">
        <f t="shared" si="45"/>
        <v>0</v>
      </c>
      <c r="K146" s="501">
        <f>D146*$K$140</f>
        <v>0</v>
      </c>
      <c r="L146" s="501">
        <f t="shared" si="46"/>
        <v>0</v>
      </c>
      <c r="M146" s="493"/>
      <c r="N146" s="507"/>
    </row>
    <row r="147" spans="2:14" ht="14.25" hidden="1" customHeight="1" outlineLevel="1">
      <c r="B147" s="525" t="s">
        <v>1328</v>
      </c>
      <c r="C147" s="15" t="str">
        <f>VLOOKUP(B147,CK!$B$8:$L$87,4,)</f>
        <v>Battering Powder Mix C Solution(Yellow)</v>
      </c>
      <c r="D147" s="499">
        <f>D143*21%</f>
        <v>116.66666666666666</v>
      </c>
      <c r="E147" s="505" t="str">
        <f>VLOOKUP(B147,[4]CK!$B$8:$L$87,9,)</f>
        <v>g</v>
      </c>
      <c r="F147" s="506">
        <f>VLOOKUP(B147,CK!$B$8:$L$87,10,)</f>
        <v>23.80952380952381</v>
      </c>
      <c r="G147" s="488">
        <f t="shared" si="44"/>
        <v>2777.7777777777778</v>
      </c>
      <c r="H147" s="905"/>
      <c r="I147" s="905"/>
      <c r="J147" s="491">
        <f t="shared" si="45"/>
        <v>0</v>
      </c>
      <c r="K147" s="501">
        <f>D147*$K$140</f>
        <v>0</v>
      </c>
      <c r="L147" s="501">
        <f t="shared" si="46"/>
        <v>0</v>
      </c>
      <c r="M147" s="493"/>
      <c r="N147" s="507"/>
    </row>
    <row r="148" spans="2:14" ht="14.25" hidden="1" customHeight="1" outlineLevel="1">
      <c r="B148" s="523" t="s">
        <v>1343</v>
      </c>
      <c r="C148" s="15" t="str">
        <f>IFERROR(VLOOKUP(B148,MasterSheet!$B$6:$N$421,3,),"n/a")</f>
        <v>BB.Q Papertray</v>
      </c>
      <c r="D148" s="510">
        <v>1</v>
      </c>
      <c r="E148" s="505" t="str">
        <f>IFERROR(VLOOKUP(B148,[4]MasterSheet!B60:N528,10,),"N/a")</f>
        <v>ea</v>
      </c>
      <c r="F148" s="506">
        <f>IFERROR(VLOOKUP(B148,MasterSheet!$B$6:$N$421,11,),"N/a")</f>
        <v>600</v>
      </c>
      <c r="G148" s="488">
        <f t="shared" si="44"/>
        <v>600</v>
      </c>
      <c r="H148" s="905"/>
      <c r="I148" s="905"/>
      <c r="J148" s="491">
        <f t="shared" si="45"/>
        <v>0</v>
      </c>
      <c r="K148" s="501"/>
      <c r="L148" s="501">
        <f t="shared" si="46"/>
        <v>0</v>
      </c>
      <c r="M148" s="493" t="s">
        <v>1345</v>
      </c>
      <c r="N148" s="507"/>
    </row>
    <row r="149" spans="2:14" ht="14.25" hidden="1" customHeight="1" outlineLevel="1">
      <c r="B149" s="523" t="s">
        <v>1347</v>
      </c>
      <c r="C149" s="15" t="str">
        <f>IFERROR(VLOOKUP(B149,MasterSheet!$B$6:$N$421,3,),"n/a")</f>
        <v>PARCHMENT PAPER / WRAPPING RICE</v>
      </c>
      <c r="D149" s="510">
        <v>1</v>
      </c>
      <c r="E149" s="505" t="str">
        <f>IFERROR(VLOOKUP(B149,[4]MasterSheet!B60:N529,10,),"N/a")</f>
        <v>ea</v>
      </c>
      <c r="F149" s="506">
        <f>IFERROR(VLOOKUP(B149,MasterSheet!$B$6:$N$421,11,),"N/a")</f>
        <v>216.45</v>
      </c>
      <c r="G149" s="488">
        <f t="shared" si="44"/>
        <v>216.45</v>
      </c>
      <c r="H149" s="905"/>
      <c r="I149" s="905"/>
      <c r="J149" s="491">
        <f t="shared" si="45"/>
        <v>0</v>
      </c>
      <c r="K149" s="501">
        <f>D149*$K$140</f>
        <v>0</v>
      </c>
      <c r="L149" s="501">
        <f t="shared" si="46"/>
        <v>0</v>
      </c>
      <c r="M149" s="493"/>
      <c r="N149" s="507"/>
    </row>
    <row r="150" spans="2:14" ht="14.65" hidden="1" customHeight="1" outlineLevel="1" thickBot="1">
      <c r="B150" s="524" t="s">
        <v>1344</v>
      </c>
      <c r="C150" s="512" t="str">
        <f>IFERROR(VLOOKUP(B150,MasterSheet!$B$6:$N$421,3,),"n/a")</f>
        <v>BB.Q Takeaway Box (XL)</v>
      </c>
      <c r="D150" s="513">
        <v>1</v>
      </c>
      <c r="E150" s="514" t="str">
        <f>IFERROR(VLOOKUP(B150,[4]MasterSheet!B60:N528,10,),"N/a")</f>
        <v>ea</v>
      </c>
      <c r="F150" s="515">
        <f>IFERROR(VLOOKUP(B150,MasterSheet!$B$6:$N$421,11,),"N/a")</f>
        <v>1800</v>
      </c>
      <c r="G150" s="516">
        <f t="shared" si="44"/>
        <v>1800</v>
      </c>
      <c r="H150" s="916"/>
      <c r="I150" s="916"/>
      <c r="J150" s="517"/>
      <c r="K150" s="518">
        <f>D150*$K$140</f>
        <v>0</v>
      </c>
      <c r="L150" s="518">
        <f t="shared" si="46"/>
        <v>0</v>
      </c>
      <c r="M150" s="519" t="s">
        <v>1346</v>
      </c>
      <c r="N150" s="520"/>
    </row>
    <row r="151" spans="2:14" collapsed="1">
      <c r="B151" s="219" t="s">
        <v>1378</v>
      </c>
      <c r="C151" s="15" t="s">
        <v>1362</v>
      </c>
      <c r="D151" s="184">
        <f>E151*(1+$E$8)</f>
        <v>39600</v>
      </c>
      <c r="E151" s="526">
        <v>36000</v>
      </c>
      <c r="F151" s="185">
        <f>H154</f>
        <v>11604.750539219052</v>
      </c>
      <c r="G151" s="489">
        <f>I154</f>
        <v>12408.750539219052</v>
      </c>
      <c r="H151" s="500">
        <f>F151/E151</f>
        <v>0.3223541816449737</v>
      </c>
      <c r="I151" s="500">
        <f>G151/E151</f>
        <v>0.34468751497830702</v>
      </c>
      <c r="J151" s="563">
        <f>VLOOKUP(B151,'SALES MIX'!B14:J104,4)</f>
        <v>17</v>
      </c>
      <c r="K151" s="501">
        <f>VLOOKUP(B151,'SALES MIX'!B14:J104,5)</f>
        <v>6</v>
      </c>
      <c r="L151" s="221">
        <f>((F151*J151)+(G151*K151))/((J151+K151)*E151)</f>
        <v>0.32818026860149541</v>
      </c>
    </row>
    <row r="152" spans="2:14" ht="14.65" hidden="1" customHeight="1" outlineLevel="1" thickTop="1">
      <c r="B152" s="913" t="s">
        <v>1304</v>
      </c>
      <c r="C152" s="914" t="s">
        <v>1305</v>
      </c>
      <c r="D152" s="915" t="s">
        <v>1306</v>
      </c>
      <c r="E152" s="915" t="s">
        <v>60</v>
      </c>
      <c r="F152" s="915" t="s">
        <v>1307</v>
      </c>
      <c r="G152" s="915" t="s">
        <v>1315</v>
      </c>
      <c r="H152" s="907" t="s">
        <v>1312</v>
      </c>
      <c r="I152" s="907"/>
      <c r="J152" s="907" t="s">
        <v>1319</v>
      </c>
      <c r="K152" s="907"/>
      <c r="L152" s="908" t="s">
        <v>1313</v>
      </c>
      <c r="M152" s="907" t="s">
        <v>1317</v>
      </c>
      <c r="N152" s="917"/>
    </row>
    <row r="153" spans="2:14" ht="14.65" hidden="1" customHeight="1" outlineLevel="1" thickBot="1">
      <c r="B153" s="894"/>
      <c r="C153" s="896"/>
      <c r="D153" s="898"/>
      <c r="E153" s="898"/>
      <c r="F153" s="898"/>
      <c r="G153" s="898"/>
      <c r="H153" s="502" t="s">
        <v>1309</v>
      </c>
      <c r="I153" s="502" t="s">
        <v>1308</v>
      </c>
      <c r="J153" s="502" t="s">
        <v>1309</v>
      </c>
      <c r="K153" s="502" t="s">
        <v>1308</v>
      </c>
      <c r="L153" s="901"/>
      <c r="M153" s="903"/>
      <c r="N153" s="904"/>
    </row>
    <row r="154" spans="2:14" ht="14.25" hidden="1" customHeight="1" outlineLevel="1">
      <c r="B154" s="504" t="s">
        <v>631</v>
      </c>
      <c r="C154" s="15" t="str">
        <f>IFERROR(VLOOKUP(B154,MasterSheet!$B$6:$N$150,3,),"n/a")</f>
        <v>Injected Whole Chicken (1.25kg)</v>
      </c>
      <c r="D154" s="499">
        <f>1250/9</f>
        <v>138.88888888888889</v>
      </c>
      <c r="E154" s="505" t="str">
        <f>IFERROR(VLOOKUP(B154,[4]MasterSheet!$B$6:$N$144,10,),"N/a")</f>
        <v>g</v>
      </c>
      <c r="F154" s="506">
        <f>IFERROR(VLOOKUP(B154,MasterSheet!$B$6:$N$150,11,),"N/a")</f>
        <v>34.314223999999996</v>
      </c>
      <c r="G154" s="488">
        <f t="shared" ref="G154:G166" si="47">IFERROR(D154*F154,"_")</f>
        <v>4765.8644444444435</v>
      </c>
      <c r="H154" s="905">
        <f>SUM(G154:G162,G164,G166)</f>
        <v>11604.750539219052</v>
      </c>
      <c r="I154" s="905">
        <f>SUM(G154:G161,G163,G164,G166,G165)</f>
        <v>12408.750539219052</v>
      </c>
      <c r="J154" s="491">
        <f>D154*$J$151</f>
        <v>2361.1111111111109</v>
      </c>
      <c r="K154" s="501">
        <f>D154*$K$151</f>
        <v>833.33333333333326</v>
      </c>
      <c r="L154" s="501">
        <f>SUM(J154:K154)</f>
        <v>3194.4444444444443</v>
      </c>
      <c r="M154" s="493"/>
      <c r="N154" s="507"/>
    </row>
    <row r="155" spans="2:14" ht="14.25" hidden="1" customHeight="1" outlineLevel="1">
      <c r="B155" s="508" t="s">
        <v>757</v>
      </c>
      <c r="C155" s="15" t="str">
        <f>IFERROR(VLOOKUP(B155,MasterSheet!$B$6:$N$150,3,),"n/a")</f>
        <v xml:space="preserve">Marinade Powder Mix </v>
      </c>
      <c r="D155" s="499">
        <f>D154*0.012</f>
        <v>1.6666666666666667</v>
      </c>
      <c r="E155" s="505" t="str">
        <f>IFERROR(VLOOKUP(B155,[4]MasterSheet!$B$6:$N$144,10,),"N/a")</f>
        <v>g</v>
      </c>
      <c r="F155" s="506">
        <f>IFERROR(VLOOKUP(B155,MasterSheet!$B$6:$N$150,11,),"N/a")</f>
        <v>117.51275510204081</v>
      </c>
      <c r="G155" s="488">
        <f t="shared" si="47"/>
        <v>195.8545918367347</v>
      </c>
      <c r="H155" s="905"/>
      <c r="I155" s="905"/>
      <c r="J155" s="491">
        <f t="shared" ref="J155:J164" si="48">D155*$J$151</f>
        <v>28.333333333333336</v>
      </c>
      <c r="K155" s="501">
        <f t="shared" ref="K155:K165" si="49">D155*$K$151</f>
        <v>10</v>
      </c>
      <c r="L155" s="501">
        <f t="shared" ref="L155:L165" si="50">SUM(J155:K155)</f>
        <v>38.333333333333336</v>
      </c>
      <c r="M155" s="493"/>
      <c r="N155" s="507"/>
    </row>
    <row r="156" spans="2:14" ht="14.25" hidden="1" customHeight="1" outlineLevel="1">
      <c r="B156" s="508" t="s">
        <v>4</v>
      </c>
      <c r="C156" s="15" t="str">
        <f>IFERROR(VLOOKUP(B156,MasterSheet!$B$6:$N$150,3,),"n/a")</f>
        <v>Battering Powder Mix</v>
      </c>
      <c r="D156" s="499">
        <f>D154*0.175</f>
        <v>24.305555555555554</v>
      </c>
      <c r="E156" s="505" t="str">
        <f>IFERROR(VLOOKUP(B156,[4]MasterSheet!$B$6:$N$144,10,),"N/a")</f>
        <v>g</v>
      </c>
      <c r="F156" s="506">
        <f>IFERROR(VLOOKUP(B156,MasterSheet!$B$6:$N$150,11,),"N/a")</f>
        <v>81.617647058823536</v>
      </c>
      <c r="G156" s="488">
        <f t="shared" si="47"/>
        <v>1983.7622549019609</v>
      </c>
      <c r="H156" s="905"/>
      <c r="I156" s="905"/>
      <c r="J156" s="491">
        <f t="shared" si="48"/>
        <v>413.1944444444444</v>
      </c>
      <c r="K156" s="501">
        <f t="shared" si="49"/>
        <v>145.83333333333331</v>
      </c>
      <c r="L156" s="501">
        <f t="shared" si="50"/>
        <v>559.02777777777771</v>
      </c>
      <c r="M156" s="493"/>
      <c r="N156" s="507"/>
    </row>
    <row r="157" spans="2:14" ht="14.25" hidden="1" customHeight="1" outlineLevel="1">
      <c r="B157" s="508" t="s">
        <v>999</v>
      </c>
      <c r="C157" s="15" t="str">
        <f>IFERROR(VLOOKUP(B157,MasterSheet!$B$6:$N$150,3,),"n/a")</f>
        <v>Palm Oil</v>
      </c>
      <c r="D157" s="499">
        <f>D154*0.1</f>
        <v>13.888888888888889</v>
      </c>
      <c r="E157" s="505" t="str">
        <f>IFERROR(VLOOKUP(B157,[4]MasterSheet!$B$6:$N$144,10,),"N/a")</f>
        <v>g</v>
      </c>
      <c r="F157" s="506">
        <f>IFERROR(VLOOKUP(B157,MasterSheet!$B$6:$N$150,11,),"N/a")</f>
        <v>25.580404040404041</v>
      </c>
      <c r="G157" s="488">
        <f t="shared" si="47"/>
        <v>355.28338945005612</v>
      </c>
      <c r="H157" s="905"/>
      <c r="I157" s="905"/>
      <c r="J157" s="491">
        <f t="shared" si="48"/>
        <v>236.11111111111111</v>
      </c>
      <c r="K157" s="501">
        <f t="shared" si="49"/>
        <v>83.333333333333343</v>
      </c>
      <c r="L157" s="501">
        <f t="shared" si="50"/>
        <v>319.44444444444446</v>
      </c>
      <c r="M157" s="493"/>
      <c r="N157" s="507"/>
    </row>
    <row r="158" spans="2:14" ht="14.25" hidden="1" customHeight="1" outlineLevel="1">
      <c r="B158" s="508" t="s">
        <v>785</v>
      </c>
      <c r="C158" s="15" t="str">
        <f>IFERROR(VLOOKUP(B158,MasterSheet!$B$6:$N$150,3,),"n/a")</f>
        <v xml:space="preserve">Black Tea (w/water) </v>
      </c>
      <c r="D158" s="499">
        <v>250</v>
      </c>
      <c r="E158" s="505" t="str">
        <f>IFERROR(VLOOKUP(B158,[4]MasterSheet!$B$6:$N$144,10,),"N/a")</f>
        <v>g</v>
      </c>
      <c r="F158" s="506">
        <f>IFERROR(VLOOKUP(B158,MasterSheet!$B$6:$N$150,11,),"N/a")</f>
        <v>1.6818181818181819</v>
      </c>
      <c r="G158" s="488">
        <f t="shared" si="47"/>
        <v>420.4545454545455</v>
      </c>
      <c r="H158" s="905"/>
      <c r="I158" s="905"/>
      <c r="J158" s="491">
        <f t="shared" si="48"/>
        <v>4250</v>
      </c>
      <c r="K158" s="501">
        <f t="shared" si="49"/>
        <v>1500</v>
      </c>
      <c r="L158" s="501">
        <f t="shared" si="50"/>
        <v>5750</v>
      </c>
      <c r="M158" s="493"/>
      <c r="N158" s="507"/>
    </row>
    <row r="159" spans="2:14" ht="14.25" hidden="1" customHeight="1" outlineLevel="1">
      <c r="B159" s="508" t="s">
        <v>1029</v>
      </c>
      <c r="C159" s="15" t="str">
        <f>IFERROR(VLOOKUP(B159,MasterSheet!$B$6:$N$150,3,),"n/a")</f>
        <v>GIMBORI (Crispy Seaweed)</v>
      </c>
      <c r="D159" s="499">
        <v>1</v>
      </c>
      <c r="E159" s="505" t="str">
        <f>IFERROR(VLOOKUP(B159,[4]MasterSheet!$B$6:$N$144,10,),"N/a")</f>
        <v>g</v>
      </c>
      <c r="F159" s="506">
        <f>IFERROR(VLOOKUP(B159,MasterSheet!$B$6:$N$150,11,),"N/a")</f>
        <v>390.90909090909093</v>
      </c>
      <c r="G159" s="488">
        <f t="shared" si="47"/>
        <v>390.90909090909093</v>
      </c>
      <c r="H159" s="905"/>
      <c r="I159" s="905"/>
      <c r="J159" s="491">
        <f t="shared" si="48"/>
        <v>17</v>
      </c>
      <c r="K159" s="501">
        <f t="shared" si="49"/>
        <v>6</v>
      </c>
      <c r="L159" s="501">
        <f t="shared" si="50"/>
        <v>23</v>
      </c>
      <c r="M159" s="493"/>
      <c r="N159" s="507"/>
    </row>
    <row r="160" spans="2:14" ht="14.25" hidden="1" customHeight="1" outlineLevel="1">
      <c r="B160" s="509" t="s">
        <v>1318</v>
      </c>
      <c r="C160" s="15" t="str">
        <f>VLOOKUP(B160,CK!$B$8:$L$87,4,)</f>
        <v>Battering Powder Mix Solution(White)</v>
      </c>
      <c r="D160" s="510">
        <f>D154*0.2</f>
        <v>27.777777777777779</v>
      </c>
      <c r="E160" s="505" t="str">
        <f>VLOOKUP(B160,[4]CK!$B$8:$L$87,9,)</f>
        <v>g</v>
      </c>
      <c r="F160" s="506">
        <f>VLOOKUP(B160,CK!$B$8:$L$87,10,)</f>
        <v>30.23</v>
      </c>
      <c r="G160" s="488">
        <f t="shared" si="47"/>
        <v>839.72222222222229</v>
      </c>
      <c r="H160" s="905"/>
      <c r="I160" s="905"/>
      <c r="J160" s="491">
        <f t="shared" si="48"/>
        <v>472.22222222222223</v>
      </c>
      <c r="K160" s="501">
        <f t="shared" si="49"/>
        <v>166.66666666666669</v>
      </c>
      <c r="L160" s="501">
        <f t="shared" si="50"/>
        <v>638.88888888888891</v>
      </c>
      <c r="M160" s="493"/>
      <c r="N160" s="507"/>
    </row>
    <row r="161" spans="2:14" ht="14.25" hidden="1" customHeight="1" outlineLevel="1">
      <c r="B161" s="509" t="s">
        <v>1363</v>
      </c>
      <c r="C161" s="15" t="str">
        <f>VLOOKUP(B161,CK!$B$8:$L$87,4,)</f>
        <v>Steamed Rice</v>
      </c>
      <c r="D161" s="510">
        <v>180</v>
      </c>
      <c r="E161" s="505" t="str">
        <f>VLOOKUP(B161,[4]CK!$B$8:$L$87,9,)</f>
        <v>g</v>
      </c>
      <c r="F161" s="506">
        <f>VLOOKUP(B161,CK!$B$8:$L$87,10,)</f>
        <v>4.833333333333333</v>
      </c>
      <c r="G161" s="488">
        <f t="shared" si="47"/>
        <v>870</v>
      </c>
      <c r="H161" s="905"/>
      <c r="I161" s="905"/>
      <c r="J161" s="491">
        <f t="shared" si="48"/>
        <v>3060</v>
      </c>
      <c r="K161" s="501">
        <f t="shared" si="49"/>
        <v>1080</v>
      </c>
      <c r="L161" s="501">
        <f t="shared" si="50"/>
        <v>4140</v>
      </c>
      <c r="M161" s="493"/>
      <c r="N161" s="507"/>
    </row>
    <row r="162" spans="2:14" ht="14.25" hidden="1" customHeight="1" outlineLevel="1">
      <c r="B162" s="523" t="s">
        <v>1343</v>
      </c>
      <c r="C162" s="15" t="str">
        <f>IFERROR(VLOOKUP(B162,MasterSheet!$B$6:$N$521,3,),"n/a")</f>
        <v>BB.Q Papertray</v>
      </c>
      <c r="D162" s="510">
        <v>1</v>
      </c>
      <c r="E162" s="505" t="str">
        <f>IFERROR(VLOOKUP(B162,[4]MasterSheet!$B$6:$N$515,10,),"N/a")</f>
        <v>ea</v>
      </c>
      <c r="F162" s="506">
        <f>IFERROR(VLOOKUP(B162,MasterSheet!$B$6:$N$521,11,),"N/a")</f>
        <v>600</v>
      </c>
      <c r="G162" s="488">
        <f t="shared" si="47"/>
        <v>600</v>
      </c>
      <c r="H162" s="905"/>
      <c r="I162" s="905"/>
      <c r="J162" s="491">
        <f t="shared" si="48"/>
        <v>17</v>
      </c>
      <c r="K162" s="501"/>
      <c r="L162" s="501">
        <f t="shared" si="50"/>
        <v>17</v>
      </c>
      <c r="M162" s="493"/>
      <c r="N162" s="507"/>
    </row>
    <row r="163" spans="2:14" ht="14.25" hidden="1" customHeight="1" outlineLevel="1">
      <c r="B163" s="523" t="s">
        <v>1364</v>
      </c>
      <c r="C163" s="15" t="str">
        <f>IFERROR(VLOOKUP(B163,MasterSheet!$B$6:$N$521,3,),"n/a")</f>
        <v xml:space="preserve">BB.Q FOODPAIL M </v>
      </c>
      <c r="D163" s="510">
        <v>1</v>
      </c>
      <c r="E163" s="505" t="str">
        <f>IFERROR(VLOOKUP(B163,[4]MasterSheet!$B$6:$N$515,10,),"N/a")</f>
        <v>ea</v>
      </c>
      <c r="F163" s="506">
        <f>IFERROR(VLOOKUP(B163,MasterSheet!$B$6:$N$521,11,),"N/a")</f>
        <v>1204</v>
      </c>
      <c r="G163" s="488">
        <f t="shared" si="47"/>
        <v>1204</v>
      </c>
      <c r="H163" s="905"/>
      <c r="I163" s="905"/>
      <c r="J163" s="491"/>
      <c r="K163" s="501">
        <f t="shared" si="49"/>
        <v>6</v>
      </c>
      <c r="L163" s="501">
        <f t="shared" si="50"/>
        <v>6</v>
      </c>
      <c r="M163" s="493"/>
      <c r="N163" s="507"/>
    </row>
    <row r="164" spans="2:14" ht="14.25" hidden="1" customHeight="1" outlineLevel="1">
      <c r="B164" s="523" t="s">
        <v>1365</v>
      </c>
      <c r="C164" s="15" t="str">
        <f>IFERROR(VLOOKUP(B164,MasterSheet!$B$6:$N$521,3,),"n/a")</f>
        <v>Drink Package(16oz)</v>
      </c>
      <c r="D164" s="510">
        <v>1</v>
      </c>
      <c r="E164" s="505" t="str">
        <f>IFERROR(VLOOKUP(B164,[4]MasterSheet!$B$6:$N$515,10,),"N/a")</f>
        <v>ea</v>
      </c>
      <c r="F164" s="506">
        <f>IFERROR(VLOOKUP(B164,MasterSheet!$B$6:$N$521,11,),"N/a")</f>
        <v>750</v>
      </c>
      <c r="G164" s="488">
        <f t="shared" si="47"/>
        <v>750</v>
      </c>
      <c r="H164" s="905"/>
      <c r="I164" s="905"/>
      <c r="J164" s="491">
        <f t="shared" si="48"/>
        <v>17</v>
      </c>
      <c r="K164" s="501">
        <f t="shared" si="49"/>
        <v>6</v>
      </c>
      <c r="L164" s="501">
        <f t="shared" si="50"/>
        <v>23</v>
      </c>
      <c r="M164" s="493"/>
      <c r="N164" s="507"/>
    </row>
    <row r="165" spans="2:14" ht="14.25" hidden="1" customHeight="1" outlineLevel="1">
      <c r="B165" s="523" t="s">
        <v>1385</v>
      </c>
      <c r="C165" s="15" t="str">
        <f>IFERROR(VLOOKUP(B165,MasterSheet!$B$6:$N$521,3,),"n/a")</f>
        <v>DRINK PACKAGE LID(16OZ)</v>
      </c>
      <c r="D165" s="510">
        <v>1</v>
      </c>
      <c r="E165" s="505" t="str">
        <f>IFERROR(VLOOKUP(B165,[4]MasterSheet!$B$6:$N$515,10,),"N/a")</f>
        <v>ea</v>
      </c>
      <c r="F165" s="506">
        <f>IFERROR(VLOOKUP(B165,MasterSheet!$B$6:$N$521,11,),"N/a")</f>
        <v>200</v>
      </c>
      <c r="G165" s="488">
        <f t="shared" si="47"/>
        <v>200</v>
      </c>
      <c r="H165" s="905"/>
      <c r="I165" s="905"/>
      <c r="J165" s="491"/>
      <c r="K165" s="501">
        <f t="shared" si="49"/>
        <v>6</v>
      </c>
      <c r="L165" s="501">
        <f t="shared" si="50"/>
        <v>6</v>
      </c>
      <c r="M165" s="493"/>
      <c r="N165" s="507"/>
    </row>
    <row r="166" spans="2:14" ht="14.65" hidden="1" customHeight="1" outlineLevel="1" thickBot="1">
      <c r="B166" s="524" t="s">
        <v>1347</v>
      </c>
      <c r="C166" s="512" t="str">
        <f>IFERROR(VLOOKUP(B166,MasterSheet!$B$6:$N$421,3,),"n/a")</f>
        <v>PARCHMENT PAPER / WRAPPING RICE</v>
      </c>
      <c r="D166" s="513">
        <v>2</v>
      </c>
      <c r="E166" s="514" t="str">
        <f>IFERROR(VLOOKUP(B166,[4]MasterSheet!B64:N539,10,),"N/a")</f>
        <v>ea</v>
      </c>
      <c r="F166" s="515">
        <f>IFERROR(VLOOKUP(B166,MasterSheet!$B$6:$N$421,11,),"N/a")</f>
        <v>216.45</v>
      </c>
      <c r="G166" s="516">
        <f t="shared" si="47"/>
        <v>432.9</v>
      </c>
      <c r="H166" s="916"/>
      <c r="I166" s="916"/>
      <c r="J166" s="517">
        <f>D166*$J$151</f>
        <v>34</v>
      </c>
      <c r="K166" s="518">
        <f>D166*$K$151</f>
        <v>12</v>
      </c>
      <c r="L166" s="518">
        <f>SUM(J166:K166)</f>
        <v>46</v>
      </c>
      <c r="M166" s="519"/>
      <c r="N166" s="520"/>
    </row>
    <row r="167" spans="2:14" collapsed="1">
      <c r="B167" s="219" t="s">
        <v>1379</v>
      </c>
      <c r="C167" s="15" t="s">
        <v>1399</v>
      </c>
      <c r="D167" s="184">
        <f>E167*(1+$E$8)</f>
        <v>42900</v>
      </c>
      <c r="E167" s="526">
        <v>39000</v>
      </c>
      <c r="F167" s="185">
        <f>H170</f>
        <v>14218.704185052389</v>
      </c>
      <c r="G167" s="489">
        <f>I170</f>
        <v>15022.704185052389</v>
      </c>
      <c r="H167" s="500">
        <f>F167/E167</f>
        <v>0.36458215859108689</v>
      </c>
      <c r="I167" s="500">
        <f>G167/E167</f>
        <v>0.38519754320647154</v>
      </c>
      <c r="J167" s="563">
        <f>VLOOKUP(B167,'SALES MIX'!B14:J104,4)</f>
        <v>0</v>
      </c>
      <c r="K167" s="501">
        <f>VLOOKUP(B167,'SALES MIX'!B14:J104,5)</f>
        <v>0</v>
      </c>
      <c r="L167" s="221" t="e">
        <f>((F167*J167)+(G167*K167))/((J167+K167)*E167)</f>
        <v>#DIV/0!</v>
      </c>
    </row>
    <row r="168" spans="2:14" ht="14.65" hidden="1" customHeight="1" outlineLevel="1" thickTop="1">
      <c r="B168" s="913" t="s">
        <v>1304</v>
      </c>
      <c r="C168" s="914" t="s">
        <v>1305</v>
      </c>
      <c r="D168" s="915" t="s">
        <v>1306</v>
      </c>
      <c r="E168" s="915" t="s">
        <v>60</v>
      </c>
      <c r="F168" s="915" t="s">
        <v>1307</v>
      </c>
      <c r="G168" s="915" t="s">
        <v>1315</v>
      </c>
      <c r="H168" s="907" t="s">
        <v>1312</v>
      </c>
      <c r="I168" s="907"/>
      <c r="J168" s="907" t="s">
        <v>1319</v>
      </c>
      <c r="K168" s="907"/>
      <c r="L168" s="908" t="s">
        <v>1313</v>
      </c>
      <c r="M168" s="907" t="s">
        <v>1317</v>
      </c>
      <c r="N168" s="917"/>
    </row>
    <row r="169" spans="2:14" ht="14.65" hidden="1" customHeight="1" outlineLevel="1" thickBot="1">
      <c r="B169" s="894"/>
      <c r="C169" s="896"/>
      <c r="D169" s="898"/>
      <c r="E169" s="898"/>
      <c r="F169" s="898"/>
      <c r="G169" s="898"/>
      <c r="H169" s="502" t="s">
        <v>1309</v>
      </c>
      <c r="I169" s="502" t="s">
        <v>1308</v>
      </c>
      <c r="J169" s="502" t="s">
        <v>1309</v>
      </c>
      <c r="K169" s="502" t="s">
        <v>1308</v>
      </c>
      <c r="L169" s="901"/>
      <c r="M169" s="903"/>
      <c r="N169" s="904"/>
    </row>
    <row r="170" spans="2:14" ht="14.25" hidden="1" customHeight="1" outlineLevel="1">
      <c r="B170" s="504" t="s">
        <v>631</v>
      </c>
      <c r="C170" s="15" t="str">
        <f>IFERROR(VLOOKUP(B170,MasterSheet!$B$6:$N$150,3,),"n/a")</f>
        <v>Injected Whole Chicken (1.25kg)</v>
      </c>
      <c r="D170" s="499">
        <f>1250/9</f>
        <v>138.88888888888889</v>
      </c>
      <c r="E170" s="505" t="str">
        <f>IFERROR(VLOOKUP(B170,[4]MasterSheet!$B$6:$N$144,10,),"N/a")</f>
        <v>g</v>
      </c>
      <c r="F170" s="506">
        <f>IFERROR(VLOOKUP(B170,MasterSheet!$B$6:$N$150,11,),"N/a")</f>
        <v>34.314223999999996</v>
      </c>
      <c r="G170" s="488">
        <f>IFERROR(D170*F170,"_")</f>
        <v>4765.8644444444435</v>
      </c>
      <c r="H170" s="905">
        <f>SUM(G170:G179,G181,G183)</f>
        <v>14218.704185052389</v>
      </c>
      <c r="I170" s="905">
        <f>SUM(G170:G178,G180,G181,G183,G182)</f>
        <v>15022.704185052389</v>
      </c>
      <c r="J170" s="491">
        <f>D170*$J$167</f>
        <v>0</v>
      </c>
      <c r="K170" s="501">
        <f>D170*$K$167</f>
        <v>0</v>
      </c>
      <c r="L170" s="501">
        <f>SUM(J170:K170)</f>
        <v>0</v>
      </c>
      <c r="M170" s="493"/>
      <c r="N170" s="507"/>
    </row>
    <row r="171" spans="2:14" ht="14.25" hidden="1" customHeight="1" outlineLevel="1">
      <c r="B171" s="508" t="s">
        <v>757</v>
      </c>
      <c r="C171" s="15" t="str">
        <f>IFERROR(VLOOKUP(B171,MasterSheet!$B$6:$N$150,3,),"n/a")</f>
        <v xml:space="preserve">Marinade Powder Mix </v>
      </c>
      <c r="D171" s="499">
        <f>D170*0.012</f>
        <v>1.6666666666666667</v>
      </c>
      <c r="E171" s="505" t="str">
        <f>IFERROR(VLOOKUP(B171,[4]MasterSheet!$B$6:$N$144,10,),"N/a")</f>
        <v>g</v>
      </c>
      <c r="F171" s="506">
        <f>IFERROR(VLOOKUP(B171,MasterSheet!$B$6:$N$150,11,),"N/a")</f>
        <v>117.51275510204081</v>
      </c>
      <c r="G171" s="488">
        <f t="shared" ref="G171:G183" si="51">IFERROR(D171*F171,"_")</f>
        <v>195.8545918367347</v>
      </c>
      <c r="H171" s="905"/>
      <c r="I171" s="905"/>
      <c r="J171" s="491">
        <f t="shared" ref="J171:J179" si="52">D171*$J$167</f>
        <v>0</v>
      </c>
      <c r="K171" s="501">
        <f t="shared" ref="K171:K178" si="53">D171*$K$167</f>
        <v>0</v>
      </c>
      <c r="L171" s="501">
        <f t="shared" ref="L171:L182" si="54">SUM(J171:K171)</f>
        <v>0</v>
      </c>
      <c r="M171" s="493"/>
      <c r="N171" s="507"/>
    </row>
    <row r="172" spans="2:14" ht="14.25" hidden="1" customHeight="1" outlineLevel="1">
      <c r="B172" s="508" t="s">
        <v>4</v>
      </c>
      <c r="C172" s="15" t="str">
        <f>IFERROR(VLOOKUP(B172,MasterSheet!$B$6:$N$150,3,),"n/a")</f>
        <v>Battering Powder Mix</v>
      </c>
      <c r="D172" s="499">
        <f>D170*0.175</f>
        <v>24.305555555555554</v>
      </c>
      <c r="E172" s="505" t="str">
        <f>IFERROR(VLOOKUP(B172,[4]MasterSheet!$B$6:$N$144,10,),"N/a")</f>
        <v>g</v>
      </c>
      <c r="F172" s="506">
        <f>IFERROR(VLOOKUP(B172,MasterSheet!$B$6:$N$150,11,),"N/a")</f>
        <v>81.617647058823536</v>
      </c>
      <c r="G172" s="488">
        <f t="shared" si="51"/>
        <v>1983.7622549019609</v>
      </c>
      <c r="H172" s="905"/>
      <c r="I172" s="905"/>
      <c r="J172" s="491">
        <f t="shared" si="52"/>
        <v>0</v>
      </c>
      <c r="K172" s="501">
        <f t="shared" si="53"/>
        <v>0</v>
      </c>
      <c r="L172" s="501">
        <f t="shared" si="54"/>
        <v>0</v>
      </c>
      <c r="M172" s="493"/>
      <c r="N172" s="507"/>
    </row>
    <row r="173" spans="2:14" ht="14.25" hidden="1" customHeight="1" outlineLevel="1">
      <c r="B173" s="508" t="s">
        <v>999</v>
      </c>
      <c r="C173" s="15" t="str">
        <f>IFERROR(VLOOKUP(B173,MasterSheet!$B$6:$N$150,3,),"n/a")</f>
        <v>Palm Oil</v>
      </c>
      <c r="D173" s="499">
        <f>D170*0.1</f>
        <v>13.888888888888889</v>
      </c>
      <c r="E173" s="505" t="str">
        <f>IFERROR(VLOOKUP(B173,[4]MasterSheet!$B$6:$N$144,10,),"N/a")</f>
        <v>g</v>
      </c>
      <c r="F173" s="506">
        <f>IFERROR(VLOOKUP(B173,MasterSheet!$B$6:$N$150,11,),"N/a")</f>
        <v>25.580404040404041</v>
      </c>
      <c r="G173" s="488">
        <f t="shared" si="51"/>
        <v>355.28338945005612</v>
      </c>
      <c r="H173" s="905"/>
      <c r="I173" s="905"/>
      <c r="J173" s="491">
        <f t="shared" si="52"/>
        <v>0</v>
      </c>
      <c r="K173" s="501">
        <f t="shared" si="53"/>
        <v>0</v>
      </c>
      <c r="L173" s="501">
        <f t="shared" si="54"/>
        <v>0</v>
      </c>
      <c r="M173" s="493"/>
      <c r="N173" s="507"/>
    </row>
    <row r="174" spans="2:14" ht="14.25" hidden="1" customHeight="1" outlineLevel="1">
      <c r="B174" s="508" t="s">
        <v>1325</v>
      </c>
      <c r="C174" s="15" t="str">
        <f>IFERROR(VLOOKUP(B174,MasterSheet!$B$6:$N$150,3,),"n/a")</f>
        <v>Hot Spicy Sauce</v>
      </c>
      <c r="D174" s="499">
        <f>D170*15%</f>
        <v>20.833333333333332</v>
      </c>
      <c r="E174" s="505" t="str">
        <f>IFERROR(VLOOKUP(B174,[4]MasterSheet!$B$6:$N$144,10,),"N/a")</f>
        <v>g</v>
      </c>
      <c r="F174" s="506">
        <f>IFERROR(VLOOKUP(B174,MasterSheet!$B$6:$N$150,11,),"N/a")</f>
        <v>135.85937500000003</v>
      </c>
      <c r="G174" s="488">
        <f>IFERROR(D174*F174,"_")</f>
        <v>2830.4036458333339</v>
      </c>
      <c r="H174" s="905"/>
      <c r="I174" s="905"/>
      <c r="J174" s="491">
        <f t="shared" si="52"/>
        <v>0</v>
      </c>
      <c r="K174" s="501">
        <f t="shared" si="53"/>
        <v>0</v>
      </c>
      <c r="L174" s="501">
        <f t="shared" si="54"/>
        <v>0</v>
      </c>
      <c r="M174" s="493"/>
      <c r="N174" s="507"/>
    </row>
    <row r="175" spans="2:14" ht="14.25" hidden="1" customHeight="1" outlineLevel="1">
      <c r="B175" s="508" t="s">
        <v>785</v>
      </c>
      <c r="C175" s="15" t="str">
        <f>IFERROR(VLOOKUP(B175,MasterSheet!$B$6:$N$150,3,),"n/a")</f>
        <v xml:space="preserve">Black Tea (w/water) </v>
      </c>
      <c r="D175" s="499">
        <v>250</v>
      </c>
      <c r="E175" s="505" t="str">
        <f>IFERROR(VLOOKUP(B175,[4]MasterSheet!$B$6:$N$144,10,),"N/a")</f>
        <v>g</v>
      </c>
      <c r="F175" s="506">
        <f>IFERROR(VLOOKUP(B175,MasterSheet!$B$6:$N$150,11,),"N/a")</f>
        <v>1.6818181818181819</v>
      </c>
      <c r="G175" s="488">
        <f t="shared" si="51"/>
        <v>420.4545454545455</v>
      </c>
      <c r="H175" s="905"/>
      <c r="I175" s="905"/>
      <c r="J175" s="491">
        <f t="shared" si="52"/>
        <v>0</v>
      </c>
      <c r="K175" s="501">
        <f t="shared" si="53"/>
        <v>0</v>
      </c>
      <c r="L175" s="501">
        <f t="shared" si="54"/>
        <v>0</v>
      </c>
      <c r="M175" s="493"/>
      <c r="N175" s="507"/>
    </row>
    <row r="176" spans="2:14" ht="14.25" hidden="1" customHeight="1" outlineLevel="1">
      <c r="B176" s="508" t="s">
        <v>1029</v>
      </c>
      <c r="C176" s="15" t="str">
        <f>IFERROR(VLOOKUP(B176,MasterSheet!$B$6:$N$150,3,),"n/a")</f>
        <v>GIMBORI (Crispy Seaweed)</v>
      </c>
      <c r="D176" s="499">
        <v>1</v>
      </c>
      <c r="E176" s="505" t="str">
        <f>IFERROR(VLOOKUP(B176,[4]MasterSheet!$B$6:$N$144,10,),"N/a")</f>
        <v>g</v>
      </c>
      <c r="F176" s="506">
        <f>IFERROR(VLOOKUP(B176,MasterSheet!$B$6:$N$150,11,),"N/a")</f>
        <v>390.90909090909093</v>
      </c>
      <c r="G176" s="488">
        <f t="shared" si="51"/>
        <v>390.90909090909093</v>
      </c>
      <c r="H176" s="905"/>
      <c r="I176" s="905"/>
      <c r="J176" s="491">
        <f t="shared" si="52"/>
        <v>0</v>
      </c>
      <c r="K176" s="501">
        <f t="shared" si="53"/>
        <v>0</v>
      </c>
      <c r="L176" s="501">
        <f t="shared" si="54"/>
        <v>0</v>
      </c>
      <c r="M176" s="493"/>
      <c r="N176" s="507"/>
    </row>
    <row r="177" spans="2:15" ht="14.25" hidden="1" customHeight="1" outlineLevel="1">
      <c r="B177" s="509" t="s">
        <v>1318</v>
      </c>
      <c r="C177" s="15" t="str">
        <f>VLOOKUP(B177,CK!$B$8:$L$87,4,)</f>
        <v>Battering Powder Mix Solution(White)</v>
      </c>
      <c r="D177" s="510">
        <f>D170*0.2</f>
        <v>27.777777777777779</v>
      </c>
      <c r="E177" s="505" t="str">
        <f>VLOOKUP(B177,[4]CK!$B$8:$L$87,9,)</f>
        <v>g</v>
      </c>
      <c r="F177" s="506">
        <f>VLOOKUP(B177,CK!$B$8:$L$87,10,)</f>
        <v>30.23</v>
      </c>
      <c r="G177" s="488">
        <f t="shared" si="51"/>
        <v>839.72222222222229</v>
      </c>
      <c r="H177" s="905"/>
      <c r="I177" s="905"/>
      <c r="J177" s="491">
        <f t="shared" si="52"/>
        <v>0</v>
      </c>
      <c r="K177" s="501">
        <f t="shared" si="53"/>
        <v>0</v>
      </c>
      <c r="L177" s="501">
        <f t="shared" si="54"/>
        <v>0</v>
      </c>
      <c r="M177" s="493"/>
      <c r="N177" s="507"/>
    </row>
    <row r="178" spans="2:15" ht="14.25" hidden="1" customHeight="1" outlineLevel="1">
      <c r="B178" s="509" t="s">
        <v>1363</v>
      </c>
      <c r="C178" s="15" t="str">
        <f>VLOOKUP(B178,CK!$B$8:$L$87,4,)</f>
        <v>Steamed Rice</v>
      </c>
      <c r="D178" s="510">
        <v>180</v>
      </c>
      <c r="E178" s="505" t="str">
        <f>VLOOKUP(B178,[4]CK!$B$8:$L$87,9,)</f>
        <v>g</v>
      </c>
      <c r="F178" s="506">
        <f>VLOOKUP(B178,CK!$B$8:$L$87,10,)</f>
        <v>4.833333333333333</v>
      </c>
      <c r="G178" s="488">
        <f t="shared" si="51"/>
        <v>870</v>
      </c>
      <c r="H178" s="905"/>
      <c r="I178" s="905"/>
      <c r="J178" s="491">
        <f t="shared" si="52"/>
        <v>0</v>
      </c>
      <c r="K178" s="501">
        <f t="shared" si="53"/>
        <v>0</v>
      </c>
      <c r="L178" s="501">
        <f t="shared" si="54"/>
        <v>0</v>
      </c>
      <c r="M178" s="493"/>
      <c r="N178" s="507"/>
    </row>
    <row r="179" spans="2:15" ht="14.25" hidden="1" customHeight="1" outlineLevel="1">
      <c r="B179" s="523" t="s">
        <v>1343</v>
      </c>
      <c r="C179" s="15" t="str">
        <f>IFERROR(VLOOKUP(B179,MasterSheet!$B$6:$N$521,3,),"n/a")</f>
        <v>BB.Q Papertray</v>
      </c>
      <c r="D179" s="510">
        <v>1</v>
      </c>
      <c r="E179" s="505" t="str">
        <f>IFERROR(VLOOKUP(B179,[4]MasterSheet!$B$6:$N$515,10,),"N/a")</f>
        <v>ea</v>
      </c>
      <c r="F179" s="506">
        <f>IFERROR(VLOOKUP(B179,MasterSheet!$B$6:$N$521,11,),"N/a")</f>
        <v>600</v>
      </c>
      <c r="G179" s="488">
        <f t="shared" si="51"/>
        <v>600</v>
      </c>
      <c r="H179" s="905"/>
      <c r="I179" s="905"/>
      <c r="J179" s="491">
        <f t="shared" si="52"/>
        <v>0</v>
      </c>
      <c r="K179" s="501"/>
      <c r="L179" s="501">
        <f t="shared" si="54"/>
        <v>0</v>
      </c>
      <c r="M179" s="493"/>
      <c r="N179" s="507"/>
    </row>
    <row r="180" spans="2:15" ht="14.25" hidden="1" customHeight="1" outlineLevel="1">
      <c r="B180" s="523" t="s">
        <v>1364</v>
      </c>
      <c r="C180" s="15" t="str">
        <f>IFERROR(VLOOKUP(B180,MasterSheet!$B$6:$N$521,3,),"n/a")</f>
        <v xml:space="preserve">BB.Q FOODPAIL M </v>
      </c>
      <c r="D180" s="510">
        <v>1</v>
      </c>
      <c r="E180" s="505" t="str">
        <f>IFERROR(VLOOKUP(B180,[4]MasterSheet!$B$6:$N$515,10,),"N/a")</f>
        <v>ea</v>
      </c>
      <c r="F180" s="506">
        <f>IFERROR(VLOOKUP(B180,MasterSheet!$B$6:$N$521,11,),"N/a")</f>
        <v>1204</v>
      </c>
      <c r="G180" s="488">
        <f t="shared" si="51"/>
        <v>1204</v>
      </c>
      <c r="H180" s="905"/>
      <c r="I180" s="905"/>
      <c r="J180" s="491"/>
      <c r="K180" s="501">
        <f>D180*$K$167</f>
        <v>0</v>
      </c>
      <c r="L180" s="501">
        <f t="shared" si="54"/>
        <v>0</v>
      </c>
      <c r="M180" s="493"/>
      <c r="N180" s="507"/>
    </row>
    <row r="181" spans="2:15" ht="14.25" hidden="1" customHeight="1" outlineLevel="1">
      <c r="B181" s="523" t="s">
        <v>1365</v>
      </c>
      <c r="C181" s="15" t="str">
        <f>IFERROR(VLOOKUP(B181,MasterSheet!$B$6:$N$521,3,),"n/a")</f>
        <v>Drink Package(16oz)</v>
      </c>
      <c r="D181" s="510">
        <v>1</v>
      </c>
      <c r="E181" s="505" t="str">
        <f>IFERROR(VLOOKUP(B181,[4]MasterSheet!$B$6:$N$515,10,),"N/a")</f>
        <v>ea</v>
      </c>
      <c r="F181" s="506">
        <f>IFERROR(VLOOKUP(B181,MasterSheet!$B$6:$N$521,11,),"N/a")</f>
        <v>750</v>
      </c>
      <c r="G181" s="488">
        <f t="shared" si="51"/>
        <v>750</v>
      </c>
      <c r="H181" s="905"/>
      <c r="I181" s="905"/>
      <c r="J181" s="491">
        <f>D181*$J$167</f>
        <v>0</v>
      </c>
      <c r="K181" s="501">
        <f>D181*$K$167</f>
        <v>0</v>
      </c>
      <c r="L181" s="501">
        <f t="shared" si="54"/>
        <v>0</v>
      </c>
      <c r="M181" s="493"/>
      <c r="N181" s="507"/>
      <c r="O181" t="e">
        <f>((#REF!-#REF!)/#REF!)*100</f>
        <v>#REF!</v>
      </c>
    </row>
    <row r="182" spans="2:15" ht="14.25" hidden="1" customHeight="1" outlineLevel="1">
      <c r="B182" s="523" t="s">
        <v>1385</v>
      </c>
      <c r="C182" s="15" t="str">
        <f>IFERROR(VLOOKUP(B182,MasterSheet!$B$6:$N$521,3,),"n/a")</f>
        <v>DRINK PACKAGE LID(16OZ)</v>
      </c>
      <c r="D182" s="510">
        <v>1</v>
      </c>
      <c r="E182" s="505" t="str">
        <f>IFERROR(VLOOKUP(B182,[4]MasterSheet!$B$6:$N$515,10,),"N/a")</f>
        <v>ea</v>
      </c>
      <c r="F182" s="506">
        <f>IFERROR(VLOOKUP(B182,MasterSheet!$B$6:$N$521,11,),"N/a")</f>
        <v>200</v>
      </c>
      <c r="G182" s="488">
        <f>IFERROR(D182*F182,"_")</f>
        <v>200</v>
      </c>
      <c r="H182" s="905"/>
      <c r="I182" s="905"/>
      <c r="J182" s="491"/>
      <c r="K182" s="501">
        <f>D182*$K$167</f>
        <v>0</v>
      </c>
      <c r="L182" s="501">
        <f t="shared" si="54"/>
        <v>0</v>
      </c>
      <c r="M182" s="493"/>
      <c r="N182" s="507"/>
    </row>
    <row r="183" spans="2:15" ht="14.65" hidden="1" customHeight="1" outlineLevel="1" thickBot="1">
      <c r="B183" s="524" t="s">
        <v>1347</v>
      </c>
      <c r="C183" s="512" t="str">
        <f>IFERROR(VLOOKUP(B183,MasterSheet!$B$6:$N$421,3,),"n/a")</f>
        <v>PARCHMENT PAPER / WRAPPING RICE</v>
      </c>
      <c r="D183" s="513">
        <v>1</v>
      </c>
      <c r="E183" s="514" t="str">
        <f>IFERROR(VLOOKUP(B183,[4]MasterSheet!B67:N554,10,),"N/a")</f>
        <v>ea</v>
      </c>
      <c r="F183" s="515">
        <f>IFERROR(VLOOKUP(B183,MasterSheet!$B$6:$N$421,11,),"N/a")</f>
        <v>216.45</v>
      </c>
      <c r="G183" s="516">
        <f t="shared" si="51"/>
        <v>216.45</v>
      </c>
      <c r="H183" s="916"/>
      <c r="I183" s="916"/>
      <c r="J183" s="517">
        <f>D183*$J$167</f>
        <v>0</v>
      </c>
      <c r="K183" s="518">
        <f>D183*$K$167</f>
        <v>0</v>
      </c>
      <c r="L183" s="518">
        <f>SUM(J183:K183)</f>
        <v>0</v>
      </c>
      <c r="M183" s="519"/>
      <c r="N183" s="520"/>
      <c r="O183" t="e">
        <f>((#REF!-#REF!)/#REF!)*100</f>
        <v>#REF!</v>
      </c>
    </row>
    <row r="184" spans="2:15" collapsed="1">
      <c r="B184" s="219" t="s">
        <v>1380</v>
      </c>
      <c r="C184" s="15" t="s">
        <v>1381</v>
      </c>
      <c r="D184" s="527">
        <f>E184*(1+$E$8)</f>
        <v>42900</v>
      </c>
      <c r="E184" s="526">
        <v>39000</v>
      </c>
      <c r="F184" s="490">
        <f>H187</f>
        <v>10703.031765042717</v>
      </c>
      <c r="G184" s="488">
        <f>I187</f>
        <v>11507.031765042717</v>
      </c>
      <c r="H184" s="500">
        <f>F184/E184</f>
        <v>0.27443671192417224</v>
      </c>
      <c r="I184" s="500">
        <f>G184/E184</f>
        <v>0.29505209653955683</v>
      </c>
      <c r="J184" s="491">
        <f>VLOOKUP(B184,'SALES MIX'!B14:J104,4)</f>
        <v>33</v>
      </c>
      <c r="K184" s="501">
        <f>VLOOKUP(B184,'SALES MIX'!B14:J104,5)</f>
        <v>17</v>
      </c>
      <c r="L184" s="221">
        <f>((F184*J184)+(G184*K184))/((J184+K184)*E184)</f>
        <v>0.28144594269340295</v>
      </c>
      <c r="M184" s="493"/>
      <c r="N184" s="493"/>
      <c r="O184" s="449" t="e">
        <f>((#REF!-#REF!)/#REF!)*100</f>
        <v>#REF!</v>
      </c>
    </row>
    <row r="185" spans="2:15" ht="14.65" hidden="1" customHeight="1" outlineLevel="1" thickTop="1">
      <c r="B185" s="913" t="s">
        <v>1304</v>
      </c>
      <c r="C185" s="914" t="s">
        <v>1305</v>
      </c>
      <c r="D185" s="915" t="s">
        <v>1306</v>
      </c>
      <c r="E185" s="915" t="s">
        <v>60</v>
      </c>
      <c r="F185" s="915" t="s">
        <v>1307</v>
      </c>
      <c r="G185" s="915" t="s">
        <v>1315</v>
      </c>
      <c r="H185" s="907" t="s">
        <v>1312</v>
      </c>
      <c r="I185" s="907"/>
      <c r="J185" s="907" t="s">
        <v>1319</v>
      </c>
      <c r="K185" s="907"/>
      <c r="L185" s="908" t="s">
        <v>1313</v>
      </c>
      <c r="M185" s="907" t="s">
        <v>1317</v>
      </c>
      <c r="N185" s="917"/>
      <c r="O185" s="449" t="e">
        <f>((#REF!-#REF!)/#REF!)*100</f>
        <v>#REF!</v>
      </c>
    </row>
    <row r="186" spans="2:15" ht="14.65" hidden="1" customHeight="1" outlineLevel="1" thickBot="1">
      <c r="B186" s="894"/>
      <c r="C186" s="896"/>
      <c r="D186" s="898"/>
      <c r="E186" s="898"/>
      <c r="F186" s="898"/>
      <c r="G186" s="898"/>
      <c r="H186" s="502" t="s">
        <v>1309</v>
      </c>
      <c r="I186" s="502" t="s">
        <v>1308</v>
      </c>
      <c r="J186" s="502" t="s">
        <v>1309</v>
      </c>
      <c r="K186" s="502" t="s">
        <v>1308</v>
      </c>
      <c r="L186" s="901"/>
      <c r="M186" s="903"/>
      <c r="N186" s="904"/>
      <c r="O186" s="449" t="e">
        <f>((#REF!-#REF!)/#REF!)*100</f>
        <v>#REF!</v>
      </c>
    </row>
    <row r="187" spans="2:15" ht="14.25" hidden="1" customHeight="1" outlineLevel="1">
      <c r="B187" s="504" t="s">
        <v>631</v>
      </c>
      <c r="C187" s="15" t="str">
        <f>IFERROR(VLOOKUP(B187,MasterSheet!$B$6:$N$150,3,),"n/a")</f>
        <v>Injected Whole Chicken (1.25kg)</v>
      </c>
      <c r="D187" s="499">
        <f>1250/9</f>
        <v>138.88888888888889</v>
      </c>
      <c r="E187" s="505" t="str">
        <f>IFERROR(VLOOKUP(B187,[4]MasterSheet!$B$6:$N$144,10,),"N/a")</f>
        <v>g</v>
      </c>
      <c r="F187" s="506">
        <f>IFERROR(VLOOKUP(B187,MasterSheet!$B$6:$N$150,11,),"N/a")</f>
        <v>34.314223999999996</v>
      </c>
      <c r="G187" s="488">
        <f>IFERROR(D187*F187,"_")</f>
        <v>4765.8644444444435</v>
      </c>
      <c r="H187" s="905">
        <f>SUM(G187:G195,G197,G199)</f>
        <v>10703.031765042717</v>
      </c>
      <c r="I187" s="905">
        <f>SUM(G187:G194,G196,G197,G199,G198)</f>
        <v>11507.031765042717</v>
      </c>
      <c r="J187" s="491">
        <f>D187*$J$184</f>
        <v>4583.333333333333</v>
      </c>
      <c r="K187" s="501">
        <f>D187*$K$184</f>
        <v>2361.1111111111109</v>
      </c>
      <c r="L187" s="501">
        <f>SUM(J187:K187)</f>
        <v>6944.4444444444434</v>
      </c>
      <c r="M187" s="493"/>
      <c r="N187" s="507"/>
      <c r="O187" s="449" t="e">
        <f>((#REF!-#REF!)/#REF!)*100</f>
        <v>#REF!</v>
      </c>
    </row>
    <row r="188" spans="2:15" ht="14.25" hidden="1" customHeight="1" outlineLevel="1">
      <c r="B188" s="508" t="s">
        <v>690</v>
      </c>
      <c r="C188" s="15" t="str">
        <f>IFERROR(VLOOKUP(B188,MasterSheet!$B$6:$N$150,3,),"n/a")</f>
        <v xml:space="preserve">Cheese Taste Seasoning Mix </v>
      </c>
      <c r="D188" s="499">
        <f>D187*4%</f>
        <v>5.5555555555555554</v>
      </c>
      <c r="E188" s="505" t="str">
        <f>IFERROR(VLOOKUP(B188,[4]MasterSheet!$B$6:$N$144,10,),"N/a")</f>
        <v>g</v>
      </c>
      <c r="F188" s="506">
        <f>IFERROR(VLOOKUP(B188,MasterSheet!$B$6:$N$150,11,),"N/a")</f>
        <v>294.48979591836735</v>
      </c>
      <c r="G188" s="488">
        <f t="shared" ref="G188:G199" si="55">IFERROR(D188*F188,"_")</f>
        <v>1636.0544217687075</v>
      </c>
      <c r="H188" s="905"/>
      <c r="I188" s="905"/>
      <c r="J188" s="491">
        <f t="shared" ref="J188:J194" si="56">D188*$J$184</f>
        <v>183.33333333333331</v>
      </c>
      <c r="K188" s="501">
        <f t="shared" ref="K188:K194" si="57">D188*$K$184</f>
        <v>94.444444444444443</v>
      </c>
      <c r="L188" s="501">
        <f t="shared" ref="L188:L199" si="58">SUM(J188:K188)</f>
        <v>277.77777777777777</v>
      </c>
      <c r="M188" s="493"/>
      <c r="N188" s="507"/>
      <c r="O188" s="449" t="e">
        <f>((#REF!-#REF!)/#REF!)*100</f>
        <v>#REF!</v>
      </c>
    </row>
    <row r="189" spans="2:15" ht="14.25" hidden="1" customHeight="1" outlineLevel="1">
      <c r="B189" s="508" t="s">
        <v>999</v>
      </c>
      <c r="C189" s="15" t="str">
        <f>IFERROR(VLOOKUP(B189,MasterSheet!$B$6:$N$150,3,),"n/a")</f>
        <v>Palm Oil</v>
      </c>
      <c r="D189" s="499">
        <f>D187*0.1</f>
        <v>13.888888888888889</v>
      </c>
      <c r="E189" s="505" t="str">
        <f>IFERROR(VLOOKUP(B189,[4]MasterSheet!$B$6:$N$144,10,),"N/a")</f>
        <v>g</v>
      </c>
      <c r="F189" s="506">
        <f>IFERROR(VLOOKUP(B189,MasterSheet!$B$6:$N$150,11,),"N/a")</f>
        <v>25.580404040404041</v>
      </c>
      <c r="G189" s="488">
        <f t="shared" si="55"/>
        <v>355.28338945005612</v>
      </c>
      <c r="H189" s="905"/>
      <c r="I189" s="905"/>
      <c r="J189" s="491">
        <f t="shared" si="56"/>
        <v>458.33333333333337</v>
      </c>
      <c r="K189" s="501">
        <f t="shared" si="57"/>
        <v>236.11111111111111</v>
      </c>
      <c r="L189" s="501">
        <f t="shared" si="58"/>
        <v>694.44444444444446</v>
      </c>
      <c r="M189" s="493"/>
      <c r="N189" s="507"/>
      <c r="O189" s="449" t="e">
        <f>((#REF!-#REF!)/#REF!)*100</f>
        <v>#REF!</v>
      </c>
    </row>
    <row r="190" spans="2:15" ht="14.25" hidden="1" customHeight="1" outlineLevel="1">
      <c r="B190" s="508" t="s">
        <v>1382</v>
      </c>
      <c r="C190" s="15" t="str">
        <f>IFERROR(VLOOKUP(B190,MasterSheet!$B$6:$N$150,3,),"n/a")</f>
        <v>Lemon</v>
      </c>
      <c r="D190" s="499">
        <v>0.1</v>
      </c>
      <c r="E190" s="505" t="str">
        <f>IFERROR(VLOOKUP(B190,[4]MasterSheet!$B$6:$N$144,10,),"N/a")</f>
        <v>ea</v>
      </c>
      <c r="F190" s="506">
        <f>IFERROR(VLOOKUP(B190,MasterSheet!$B$6:$N$150,11,),"N/a")</f>
        <v>35.714285714285715</v>
      </c>
      <c r="G190" s="488">
        <f t="shared" si="55"/>
        <v>3.5714285714285716</v>
      </c>
      <c r="H190" s="905"/>
      <c r="I190" s="905"/>
      <c r="J190" s="491">
        <f t="shared" si="56"/>
        <v>3.3000000000000003</v>
      </c>
      <c r="K190" s="501">
        <f t="shared" si="57"/>
        <v>1.7000000000000002</v>
      </c>
      <c r="L190" s="501">
        <f t="shared" si="58"/>
        <v>5</v>
      </c>
      <c r="M190" s="493"/>
      <c r="N190" s="507"/>
      <c r="O190" s="449" t="e">
        <f>((#REF!-#REF!)/#REF!)*100</f>
        <v>#REF!</v>
      </c>
    </row>
    <row r="191" spans="2:15" ht="14.25" hidden="1" customHeight="1" outlineLevel="1">
      <c r="B191" s="508" t="s">
        <v>785</v>
      </c>
      <c r="C191" s="15" t="str">
        <f>IFERROR(VLOOKUP(B191,MasterSheet!$B$6:$N$150,3,),"n/a")</f>
        <v xml:space="preserve">Black Tea (w/water) </v>
      </c>
      <c r="D191" s="499">
        <v>250</v>
      </c>
      <c r="E191" s="505" t="str">
        <f>IFERROR(VLOOKUP(B191,[4]MasterSheet!$B$6:$N$144,10,),"N/a")</f>
        <v>g</v>
      </c>
      <c r="F191" s="506">
        <f>IFERROR(VLOOKUP(B191,MasterSheet!$B$6:$N$150,11,),"N/a")</f>
        <v>1.6818181818181819</v>
      </c>
      <c r="G191" s="488">
        <f t="shared" si="55"/>
        <v>420.4545454545455</v>
      </c>
      <c r="H191" s="905"/>
      <c r="I191" s="905"/>
      <c r="J191" s="491">
        <f t="shared" si="56"/>
        <v>8250</v>
      </c>
      <c r="K191" s="501">
        <f t="shared" si="57"/>
        <v>4250</v>
      </c>
      <c r="L191" s="501">
        <f t="shared" si="58"/>
        <v>12500</v>
      </c>
      <c r="M191" s="493"/>
      <c r="N191" s="507"/>
      <c r="O191" s="449" t="e">
        <f>((#REF!-#REF!)/#REF!)*100</f>
        <v>#REF!</v>
      </c>
    </row>
    <row r="192" spans="2:15" ht="14.25" hidden="1" customHeight="1" outlineLevel="1">
      <c r="B192" s="508" t="s">
        <v>1029</v>
      </c>
      <c r="C192" s="15" t="str">
        <f>IFERROR(VLOOKUP(B192,MasterSheet!$B$6:$N$150,3,),"n/a")</f>
        <v>GIMBORI (Crispy Seaweed)</v>
      </c>
      <c r="D192" s="499">
        <v>1</v>
      </c>
      <c r="E192" s="505" t="str">
        <f>IFERROR(VLOOKUP(B192,[4]MasterSheet!$B$6:$N$144,10,),"N/a")</f>
        <v>g</v>
      </c>
      <c r="F192" s="506">
        <f>IFERROR(VLOOKUP(B192,MasterSheet!$B$6:$N$150,11,),"N/a")</f>
        <v>390.90909090909093</v>
      </c>
      <c r="G192" s="488">
        <f t="shared" si="55"/>
        <v>390.90909090909093</v>
      </c>
      <c r="H192" s="905"/>
      <c r="I192" s="905"/>
      <c r="J192" s="491">
        <f t="shared" si="56"/>
        <v>33</v>
      </c>
      <c r="K192" s="501">
        <f t="shared" si="57"/>
        <v>17</v>
      </c>
      <c r="L192" s="501">
        <f t="shared" si="58"/>
        <v>50</v>
      </c>
      <c r="M192" s="493"/>
      <c r="N192" s="507"/>
      <c r="O192" s="449" t="e">
        <f>((#REF!-#REF!)/#REF!)*100</f>
        <v>#REF!</v>
      </c>
    </row>
    <row r="193" spans="2:15" ht="14.25" hidden="1" customHeight="1" outlineLevel="1">
      <c r="B193" s="509" t="s">
        <v>1328</v>
      </c>
      <c r="C193" s="15" t="str">
        <f>VLOOKUP(B193,CK!$B$8:$L$87,4,)</f>
        <v>Battering Powder Mix C Solution(Yellow)</v>
      </c>
      <c r="D193" s="510">
        <f>D187*0.21</f>
        <v>29.166666666666664</v>
      </c>
      <c r="E193" s="505" t="str">
        <f>VLOOKUP(B193,[4]CK!$B$8:$L$87,9,)</f>
        <v>g</v>
      </c>
      <c r="F193" s="506">
        <f>VLOOKUP(B193,CK!$B$8:$L$87,10,)</f>
        <v>23.80952380952381</v>
      </c>
      <c r="G193" s="488">
        <f t="shared" si="55"/>
        <v>694.44444444444446</v>
      </c>
      <c r="H193" s="905"/>
      <c r="I193" s="905"/>
      <c r="J193" s="491">
        <f t="shared" si="56"/>
        <v>962.49999999999989</v>
      </c>
      <c r="K193" s="501">
        <f t="shared" si="57"/>
        <v>495.83333333333331</v>
      </c>
      <c r="L193" s="501">
        <f t="shared" si="58"/>
        <v>1458.3333333333333</v>
      </c>
      <c r="M193" s="493"/>
      <c r="N193" s="507"/>
      <c r="O193" s="449" t="e">
        <f>((#REF!-#REF!)/#REF!)*100</f>
        <v>#REF!</v>
      </c>
    </row>
    <row r="194" spans="2:15" ht="14.25" hidden="1" customHeight="1" outlineLevel="1">
      <c r="B194" s="509" t="s">
        <v>1363</v>
      </c>
      <c r="C194" s="15" t="str">
        <f>VLOOKUP(B194,CK!$B$8:$L$87,4,)</f>
        <v>Steamed Rice</v>
      </c>
      <c r="D194" s="510">
        <v>180</v>
      </c>
      <c r="E194" s="505" t="str">
        <f>VLOOKUP(B194,[4]CK!$B$8:$L$87,9,)</f>
        <v>g</v>
      </c>
      <c r="F194" s="506">
        <f>VLOOKUP(B194,CK!$B$8:$L$87,10,)</f>
        <v>4.833333333333333</v>
      </c>
      <c r="G194" s="488">
        <f t="shared" si="55"/>
        <v>870</v>
      </c>
      <c r="H194" s="905"/>
      <c r="I194" s="905"/>
      <c r="J194" s="491">
        <f t="shared" si="56"/>
        <v>5940</v>
      </c>
      <c r="K194" s="501">
        <f t="shared" si="57"/>
        <v>3060</v>
      </c>
      <c r="L194" s="501">
        <f t="shared" si="58"/>
        <v>9000</v>
      </c>
      <c r="M194" s="493"/>
      <c r="N194" s="507"/>
      <c r="O194" s="449" t="e">
        <f>((#REF!-#REF!)/#REF!)*100</f>
        <v>#REF!</v>
      </c>
    </row>
    <row r="195" spans="2:15" ht="14.25" hidden="1" customHeight="1" outlineLevel="1">
      <c r="B195" s="523" t="s">
        <v>1343</v>
      </c>
      <c r="C195" s="15" t="str">
        <f>IFERROR(VLOOKUP(B195,MasterSheet!$B$6:$N$521,3,),"n/a")</f>
        <v>BB.Q Papertray</v>
      </c>
      <c r="D195" s="510">
        <v>1</v>
      </c>
      <c r="E195" s="505" t="str">
        <f>IFERROR(VLOOKUP(B195,[4]MasterSheet!$B$6:$N$515,10,),"N/a")</f>
        <v>ea</v>
      </c>
      <c r="F195" s="506">
        <f>IFERROR(VLOOKUP(B195,MasterSheet!$B$6:$N$521,11,),"N/a")</f>
        <v>600</v>
      </c>
      <c r="G195" s="488">
        <f t="shared" si="55"/>
        <v>600</v>
      </c>
      <c r="H195" s="905"/>
      <c r="I195" s="905"/>
      <c r="J195" s="491">
        <f>D195*$J$184</f>
        <v>33</v>
      </c>
      <c r="K195" s="501"/>
      <c r="L195" s="501">
        <f t="shared" si="58"/>
        <v>33</v>
      </c>
      <c r="M195" s="493"/>
      <c r="N195" s="507"/>
      <c r="O195" s="449" t="e">
        <f>((#REF!-#REF!)/#REF!)*100</f>
        <v>#REF!</v>
      </c>
    </row>
    <row r="196" spans="2:15" ht="14.25" hidden="1" customHeight="1" outlineLevel="1">
      <c r="B196" s="523" t="s">
        <v>1364</v>
      </c>
      <c r="C196" s="15" t="str">
        <f>IFERROR(VLOOKUP(B196,MasterSheet!$B$6:$N$521,3,),"n/a")</f>
        <v xml:space="preserve">BB.Q FOODPAIL M </v>
      </c>
      <c r="D196" s="510">
        <v>1</v>
      </c>
      <c r="E196" s="505" t="str">
        <f>IFERROR(VLOOKUP(B196,[4]MasterSheet!$B$6:$N$515,10,),"N/a")</f>
        <v>ea</v>
      </c>
      <c r="F196" s="506">
        <f>IFERROR(VLOOKUP(B196,MasterSheet!$B$6:$N$521,11,),"N/a")</f>
        <v>1204</v>
      </c>
      <c r="G196" s="488">
        <f t="shared" si="55"/>
        <v>1204</v>
      </c>
      <c r="H196" s="905"/>
      <c r="I196" s="905"/>
      <c r="J196" s="491"/>
      <c r="K196" s="501">
        <f>D196*$K$184</f>
        <v>17</v>
      </c>
      <c r="L196" s="501">
        <f t="shared" si="58"/>
        <v>17</v>
      </c>
      <c r="M196" s="493"/>
      <c r="N196" s="507"/>
      <c r="O196" s="449" t="e">
        <f>((#REF!-#REF!)/#REF!)*100</f>
        <v>#REF!</v>
      </c>
    </row>
    <row r="197" spans="2:15" ht="14.25" hidden="1" customHeight="1" outlineLevel="1">
      <c r="B197" s="523" t="s">
        <v>1365</v>
      </c>
      <c r="C197" s="15" t="str">
        <f>IFERROR(VLOOKUP(B197,MasterSheet!$B$6:$N$521,3,),"n/a")</f>
        <v>Drink Package(16oz)</v>
      </c>
      <c r="D197" s="510">
        <v>1</v>
      </c>
      <c r="E197" s="505" t="str">
        <f>IFERROR(VLOOKUP(B197,[4]MasterSheet!$B$6:$N$515,10,),"N/a")</f>
        <v>ea</v>
      </c>
      <c r="F197" s="506">
        <f>IFERROR(VLOOKUP(B197,MasterSheet!$B$6:$N$521,11,),"N/a")</f>
        <v>750</v>
      </c>
      <c r="G197" s="488">
        <f t="shared" si="55"/>
        <v>750</v>
      </c>
      <c r="H197" s="905"/>
      <c r="I197" s="905"/>
      <c r="J197" s="491">
        <f>D197*$J$184</f>
        <v>33</v>
      </c>
      <c r="K197" s="501">
        <f>D197*$K$184</f>
        <v>17</v>
      </c>
      <c r="L197" s="501">
        <f t="shared" si="58"/>
        <v>50</v>
      </c>
      <c r="M197" s="493"/>
      <c r="N197" s="507"/>
      <c r="O197" s="449" t="e">
        <f>((#REF!-#REF!)/#REF!)*100</f>
        <v>#REF!</v>
      </c>
    </row>
    <row r="198" spans="2:15" ht="14.25" hidden="1" customHeight="1" outlineLevel="1">
      <c r="B198" s="523" t="s">
        <v>1385</v>
      </c>
      <c r="C198" s="15" t="str">
        <f>IFERROR(VLOOKUP(B198,MasterSheet!$B$6:$N$521,3,),"n/a")</f>
        <v>DRINK PACKAGE LID(16OZ)</v>
      </c>
      <c r="D198" s="510">
        <v>1</v>
      </c>
      <c r="E198" s="505" t="str">
        <f>IFERROR(VLOOKUP(B198,[4]MasterSheet!$B$6:$N$515,10,),"N/a")</f>
        <v>ea</v>
      </c>
      <c r="F198" s="506">
        <f>IFERROR(VLOOKUP(B198,MasterSheet!$B$6:$N$521,11,),"N/a")</f>
        <v>200</v>
      </c>
      <c r="G198" s="488">
        <f>IFERROR(D198*F198,"_")</f>
        <v>200</v>
      </c>
      <c r="H198" s="905"/>
      <c r="I198" s="905"/>
      <c r="J198" s="491"/>
      <c r="K198" s="501">
        <f>D198*$K$184</f>
        <v>17</v>
      </c>
      <c r="L198" s="501">
        <f t="shared" si="58"/>
        <v>17</v>
      </c>
      <c r="M198" s="493"/>
      <c r="N198" s="507"/>
      <c r="O198" s="449"/>
    </row>
    <row r="199" spans="2:15" ht="14.65" hidden="1" customHeight="1" outlineLevel="1" thickBot="1">
      <c r="B199" s="524" t="s">
        <v>1347</v>
      </c>
      <c r="C199" s="512" t="str">
        <f>IFERROR(VLOOKUP(B199,MasterSheet!$B$6:$N$421,3,),"n/a")</f>
        <v>PARCHMENT PAPER / WRAPPING RICE</v>
      </c>
      <c r="D199" s="513">
        <v>1</v>
      </c>
      <c r="E199" s="514" t="str">
        <f>IFERROR(VLOOKUP(B199,[4]MasterSheet!B71:N570,10,),"N/a")</f>
        <v>ea</v>
      </c>
      <c r="F199" s="515">
        <f>IFERROR(VLOOKUP(B199,MasterSheet!$B$6:$N$421,11,),"N/a")</f>
        <v>216.45</v>
      </c>
      <c r="G199" s="516">
        <f t="shared" si="55"/>
        <v>216.45</v>
      </c>
      <c r="H199" s="916"/>
      <c r="I199" s="916"/>
      <c r="J199" s="517">
        <f>D199*$J$184</f>
        <v>33</v>
      </c>
      <c r="K199" s="518">
        <f>D199*$K$184</f>
        <v>17</v>
      </c>
      <c r="L199" s="518">
        <f t="shared" si="58"/>
        <v>50</v>
      </c>
      <c r="M199" s="519"/>
      <c r="N199" s="520"/>
      <c r="O199" s="449" t="e">
        <f>((#REF!-#REF!)/#REF!)*100</f>
        <v>#REF!</v>
      </c>
    </row>
    <row r="200" spans="2:15" collapsed="1">
      <c r="B200" s="219" t="s">
        <v>1386</v>
      </c>
      <c r="C200" s="15" t="s">
        <v>1387</v>
      </c>
      <c r="D200" s="184">
        <f>E200*(1+$E$8)</f>
        <v>42900</v>
      </c>
      <c r="E200" s="526">
        <v>39000</v>
      </c>
      <c r="F200" s="174">
        <f>H203</f>
        <v>10967.352805485409</v>
      </c>
      <c r="G200" s="489">
        <f>I203</f>
        <v>11771.352805485409</v>
      </c>
      <c r="H200" s="500">
        <f>F200/E200</f>
        <v>0.28121417449962588</v>
      </c>
      <c r="I200" s="500">
        <f>G200/E200</f>
        <v>0.30182955911501047</v>
      </c>
      <c r="J200" s="501">
        <f>VLOOKUP(B200,'SALES MIX'!B14:J104,4)</f>
        <v>18</v>
      </c>
      <c r="K200" s="501">
        <f>VLOOKUP(B200,'SALES MIX'!B14:J104,5)</f>
        <v>0</v>
      </c>
      <c r="L200" s="221">
        <f>((F200*J200)+(G200*K200))/((J200+K200)*E200)</f>
        <v>0.28121417449962588</v>
      </c>
      <c r="M200" s="493"/>
      <c r="N200" s="493"/>
      <c r="O200" s="449" t="e">
        <f>((#REF!-#REF!)/#REF!)*100</f>
        <v>#REF!</v>
      </c>
    </row>
    <row r="201" spans="2:15" ht="14.65" hidden="1" customHeight="1" outlineLevel="1" thickTop="1">
      <c r="B201" s="913" t="s">
        <v>1304</v>
      </c>
      <c r="C201" s="914" t="s">
        <v>1305</v>
      </c>
      <c r="D201" s="915" t="s">
        <v>1306</v>
      </c>
      <c r="E201" s="915" t="s">
        <v>60</v>
      </c>
      <c r="F201" s="915" t="s">
        <v>1307</v>
      </c>
      <c r="G201" s="915" t="s">
        <v>1315</v>
      </c>
      <c r="H201" s="907" t="s">
        <v>1312</v>
      </c>
      <c r="I201" s="907"/>
      <c r="J201" s="907" t="s">
        <v>1319</v>
      </c>
      <c r="K201" s="907"/>
      <c r="L201" s="908" t="s">
        <v>1313</v>
      </c>
      <c r="M201" s="907" t="s">
        <v>1317</v>
      </c>
      <c r="N201" s="917"/>
      <c r="O201" s="449" t="e">
        <f>((#REF!-#REF!)/#REF!)*100</f>
        <v>#REF!</v>
      </c>
    </row>
    <row r="202" spans="2:15" ht="14.65" hidden="1" customHeight="1" outlineLevel="1" thickBot="1">
      <c r="B202" s="894"/>
      <c r="C202" s="896"/>
      <c r="D202" s="898"/>
      <c r="E202" s="898"/>
      <c r="F202" s="898"/>
      <c r="G202" s="898"/>
      <c r="H202" s="502" t="s">
        <v>1309</v>
      </c>
      <c r="I202" s="502" t="s">
        <v>1308</v>
      </c>
      <c r="J202" s="502" t="s">
        <v>1309</v>
      </c>
      <c r="K202" s="502" t="s">
        <v>1308</v>
      </c>
      <c r="L202" s="901"/>
      <c r="M202" s="903"/>
      <c r="N202" s="904"/>
      <c r="O202" s="449" t="e">
        <f>((#REF!-#REF!)/#REF!)*100</f>
        <v>#REF!</v>
      </c>
    </row>
    <row r="203" spans="2:15" ht="14.25" hidden="1" customHeight="1" outlineLevel="1">
      <c r="B203" s="504" t="s">
        <v>631</v>
      </c>
      <c r="C203" s="15" t="str">
        <f>IFERROR(VLOOKUP(B203,MasterSheet!$B$6:$N$150,3,),"n/a")</f>
        <v>Injected Whole Chicken (1.25kg)</v>
      </c>
      <c r="D203" s="499">
        <f>1250/9</f>
        <v>138.88888888888889</v>
      </c>
      <c r="E203" s="505" t="str">
        <f>IFERROR(VLOOKUP(B203,[4]MasterSheet!$B$6:$N$144,10,),"N/a")</f>
        <v>g</v>
      </c>
      <c r="F203" s="506">
        <f>IFERROR(VLOOKUP(B203,MasterSheet!$B$6:$N$150,11,),"N/a")</f>
        <v>34.314223999999996</v>
      </c>
      <c r="G203" s="488">
        <f>IFERROR(D203*F203,"_")</f>
        <v>4765.8644444444435</v>
      </c>
      <c r="H203" s="905">
        <f>SUM(G203:G211,G213,G215)</f>
        <v>10967.352805485409</v>
      </c>
      <c r="I203" s="905">
        <f>SUM(G203:G210,G212,G213,G215,G214)</f>
        <v>11771.352805485409</v>
      </c>
      <c r="J203" s="491">
        <f>D203*$J$200</f>
        <v>2500</v>
      </c>
      <c r="K203" s="501">
        <f>D203*$K$200</f>
        <v>0</v>
      </c>
      <c r="L203" s="501">
        <f>SUM(J203:K203)</f>
        <v>2500</v>
      </c>
      <c r="M203" s="493"/>
      <c r="N203" s="507"/>
      <c r="O203" s="449" t="e">
        <f>((#REF!-#REF!)/#REF!)*100</f>
        <v>#REF!</v>
      </c>
    </row>
    <row r="204" spans="2:15" ht="14.25" hidden="1" customHeight="1" outlineLevel="1">
      <c r="B204" s="508" t="s">
        <v>742</v>
      </c>
      <c r="C204" s="15" t="str">
        <f>IFERROR(VLOOKUP(B204,MasterSheet!$B$6:$N$150,3,),"n/a")</f>
        <v>Garlic Flavour Soy Sauce</v>
      </c>
      <c r="D204" s="499">
        <f>D203*11%</f>
        <v>15.277777777777777</v>
      </c>
      <c r="E204" s="505" t="str">
        <f>IFERROR(VLOOKUP(B204,[4]MasterSheet!$B$6:$N$144,10,),"N/a")</f>
        <v>g</v>
      </c>
      <c r="F204" s="506">
        <f>IFERROR(VLOOKUP(B204,MasterSheet!$B$6:$N$150,11,),"N/a")</f>
        <v>112.734375</v>
      </c>
      <c r="G204" s="488">
        <f t="shared" ref="G204:G215" si="59">IFERROR(D204*F204,"_")</f>
        <v>1722.3307291666665</v>
      </c>
      <c r="H204" s="905"/>
      <c r="I204" s="905"/>
      <c r="J204" s="491">
        <f t="shared" ref="J204:J210" si="60">D204*$J$200</f>
        <v>275</v>
      </c>
      <c r="K204" s="501">
        <f t="shared" ref="K204:K210" si="61">D204*$K$200</f>
        <v>0</v>
      </c>
      <c r="L204" s="501">
        <f t="shared" ref="L204:L215" si="62">SUM(J204:K204)</f>
        <v>275</v>
      </c>
      <c r="M204" s="493"/>
      <c r="N204" s="507"/>
      <c r="O204" s="449" t="e">
        <f>((#REF!-#REF!)/#REF!)*100</f>
        <v>#REF!</v>
      </c>
    </row>
    <row r="205" spans="2:15" ht="14.25" hidden="1" customHeight="1" outlineLevel="1">
      <c r="B205" s="508" t="s">
        <v>999</v>
      </c>
      <c r="C205" s="15" t="str">
        <f>IFERROR(VLOOKUP(B205,MasterSheet!$B$6:$N$150,3,),"n/a")</f>
        <v>Palm Oil</v>
      </c>
      <c r="D205" s="499">
        <f>D203*0.1</f>
        <v>13.888888888888889</v>
      </c>
      <c r="E205" s="505" t="str">
        <f>IFERROR(VLOOKUP(B205,[4]MasterSheet!$B$6:$N$144,10,),"N/a")</f>
        <v>g</v>
      </c>
      <c r="F205" s="506">
        <f>IFERROR(VLOOKUP(B205,MasterSheet!$B$6:$N$150,11,),"N/a")</f>
        <v>25.580404040404041</v>
      </c>
      <c r="G205" s="488">
        <f t="shared" si="59"/>
        <v>355.28338945005612</v>
      </c>
      <c r="H205" s="905"/>
      <c r="I205" s="905"/>
      <c r="J205" s="491">
        <f t="shared" si="60"/>
        <v>250</v>
      </c>
      <c r="K205" s="501">
        <f t="shared" si="61"/>
        <v>0</v>
      </c>
      <c r="L205" s="501">
        <f t="shared" si="62"/>
        <v>250</v>
      </c>
      <c r="M205" s="493"/>
      <c r="N205" s="507"/>
      <c r="O205" s="449" t="e">
        <f>((#REF!-#REF!)/#REF!)*100</f>
        <v>#REF!</v>
      </c>
    </row>
    <row r="206" spans="2:15" ht="14.25" hidden="1" customHeight="1" outlineLevel="1">
      <c r="B206" s="508" t="s">
        <v>1358</v>
      </c>
      <c r="C206" s="15" t="str">
        <f>IFERROR(VLOOKUP(B206,MasterSheet!$B$6:$N$150,3,),"n/a")</f>
        <v>Garlic Chip</v>
      </c>
      <c r="D206" s="499">
        <v>2</v>
      </c>
      <c r="E206" s="505" t="str">
        <f>IFERROR(VLOOKUP(B206,[4]MasterSheet!$B$6:$N$144,10,),"N/a")</f>
        <v>g</v>
      </c>
      <c r="F206" s="506">
        <f>IFERROR(VLOOKUP(B206,MasterSheet!$B$6:$N$150,11,),"N/a")</f>
        <v>90.808080808080817</v>
      </c>
      <c r="G206" s="488">
        <f t="shared" si="59"/>
        <v>181.61616161616163</v>
      </c>
      <c r="H206" s="905"/>
      <c r="I206" s="905"/>
      <c r="J206" s="491">
        <f t="shared" si="60"/>
        <v>36</v>
      </c>
      <c r="K206" s="501">
        <f t="shared" si="61"/>
        <v>0</v>
      </c>
      <c r="L206" s="501">
        <f t="shared" si="62"/>
        <v>36</v>
      </c>
      <c r="M206" s="493"/>
      <c r="N206" s="507"/>
      <c r="O206" s="449" t="e">
        <f>((#REF!-#REF!)/#REF!)*100</f>
        <v>#REF!</v>
      </c>
    </row>
    <row r="207" spans="2:15" ht="14.25" hidden="1" customHeight="1" outlineLevel="1">
      <c r="B207" s="508" t="s">
        <v>785</v>
      </c>
      <c r="C207" s="15" t="str">
        <f>IFERROR(VLOOKUP(B207,MasterSheet!$B$6:$N$150,3,),"n/a")</f>
        <v xml:space="preserve">Black Tea (w/water) </v>
      </c>
      <c r="D207" s="499">
        <v>250</v>
      </c>
      <c r="E207" s="505" t="str">
        <f>IFERROR(VLOOKUP(B207,[4]MasterSheet!$B$6:$N$144,10,),"N/a")</f>
        <v>g</v>
      </c>
      <c r="F207" s="506">
        <f>IFERROR(VLOOKUP(B207,MasterSheet!$B$6:$N$150,11,),"N/a")</f>
        <v>1.6818181818181819</v>
      </c>
      <c r="G207" s="488">
        <f t="shared" si="59"/>
        <v>420.4545454545455</v>
      </c>
      <c r="H207" s="905"/>
      <c r="I207" s="905"/>
      <c r="J207" s="491">
        <f t="shared" si="60"/>
        <v>4500</v>
      </c>
      <c r="K207" s="501">
        <f t="shared" si="61"/>
        <v>0</v>
      </c>
      <c r="L207" s="501">
        <f t="shared" si="62"/>
        <v>4500</v>
      </c>
      <c r="M207" s="493"/>
      <c r="N207" s="507"/>
      <c r="O207" s="449" t="e">
        <f>((#REF!-#REF!)/#REF!)*100</f>
        <v>#REF!</v>
      </c>
    </row>
    <row r="208" spans="2:15" ht="14.25" hidden="1" customHeight="1" outlineLevel="1">
      <c r="B208" s="508" t="s">
        <v>1029</v>
      </c>
      <c r="C208" s="15" t="str">
        <f>IFERROR(VLOOKUP(B208,MasterSheet!$B$6:$N$150,3,),"n/a")</f>
        <v>GIMBORI (Crispy Seaweed)</v>
      </c>
      <c r="D208" s="499">
        <v>1</v>
      </c>
      <c r="E208" s="505" t="str">
        <f>IFERROR(VLOOKUP(B208,[4]MasterSheet!$B$6:$N$144,10,),"N/a")</f>
        <v>g</v>
      </c>
      <c r="F208" s="506">
        <f>IFERROR(VLOOKUP(B208,MasterSheet!$B$6:$N$150,11,),"N/a")</f>
        <v>390.90909090909093</v>
      </c>
      <c r="G208" s="488">
        <f t="shared" si="59"/>
        <v>390.90909090909093</v>
      </c>
      <c r="H208" s="905"/>
      <c r="I208" s="905"/>
      <c r="J208" s="491">
        <f t="shared" si="60"/>
        <v>18</v>
      </c>
      <c r="K208" s="501">
        <f t="shared" si="61"/>
        <v>0</v>
      </c>
      <c r="L208" s="501">
        <f t="shared" si="62"/>
        <v>18</v>
      </c>
      <c r="M208" s="493"/>
      <c r="N208" s="507"/>
      <c r="O208" s="449" t="e">
        <f>((#REF!-#REF!)/#REF!)*100</f>
        <v>#REF!</v>
      </c>
    </row>
    <row r="209" spans="2:15" ht="14.25" hidden="1" customHeight="1" outlineLevel="1">
      <c r="B209" s="509" t="s">
        <v>1328</v>
      </c>
      <c r="C209" s="15" t="str">
        <f>VLOOKUP(B209,CK!$B$8:$L$87,4,)</f>
        <v>Battering Powder Mix C Solution(Yellow)</v>
      </c>
      <c r="D209" s="510">
        <f>D203*0.21</f>
        <v>29.166666666666664</v>
      </c>
      <c r="E209" s="505" t="str">
        <f>VLOOKUP(B209,[4]CK!$B$8:$L$87,9,)</f>
        <v>g</v>
      </c>
      <c r="F209" s="506">
        <f>VLOOKUP(B209,CK!$B$8:$L$87,10,)</f>
        <v>23.80952380952381</v>
      </c>
      <c r="G209" s="488">
        <f t="shared" si="59"/>
        <v>694.44444444444446</v>
      </c>
      <c r="H209" s="905"/>
      <c r="I209" s="905"/>
      <c r="J209" s="491">
        <f t="shared" si="60"/>
        <v>525</v>
      </c>
      <c r="K209" s="501">
        <f t="shared" si="61"/>
        <v>0</v>
      </c>
      <c r="L209" s="501">
        <f t="shared" si="62"/>
        <v>525</v>
      </c>
      <c r="M209" s="493"/>
      <c r="N209" s="507"/>
      <c r="O209" s="449" t="e">
        <f>((#REF!-#REF!)/#REF!)*100</f>
        <v>#REF!</v>
      </c>
    </row>
    <row r="210" spans="2:15" ht="14.25" hidden="1" customHeight="1" outlineLevel="1">
      <c r="B210" s="509" t="s">
        <v>1363</v>
      </c>
      <c r="C210" s="15" t="str">
        <f>VLOOKUP(B210,CK!$B$8:$L$87,4,)</f>
        <v>Steamed Rice</v>
      </c>
      <c r="D210" s="510">
        <v>180</v>
      </c>
      <c r="E210" s="505" t="str">
        <f>VLOOKUP(B210,[4]CK!$B$8:$L$87,9,)</f>
        <v>g</v>
      </c>
      <c r="F210" s="506">
        <f>VLOOKUP(B210,CK!$B$8:$L$87,10,)</f>
        <v>4.833333333333333</v>
      </c>
      <c r="G210" s="488">
        <f t="shared" si="59"/>
        <v>870</v>
      </c>
      <c r="H210" s="905"/>
      <c r="I210" s="905"/>
      <c r="J210" s="491">
        <f t="shared" si="60"/>
        <v>3240</v>
      </c>
      <c r="K210" s="501">
        <f t="shared" si="61"/>
        <v>0</v>
      </c>
      <c r="L210" s="501">
        <f t="shared" si="62"/>
        <v>3240</v>
      </c>
      <c r="M210" s="493"/>
      <c r="N210" s="507"/>
      <c r="O210" s="449" t="e">
        <f>((#REF!-#REF!)/#REF!)*100</f>
        <v>#REF!</v>
      </c>
    </row>
    <row r="211" spans="2:15" ht="14.25" hidden="1" customHeight="1" outlineLevel="1">
      <c r="B211" s="523" t="s">
        <v>1343</v>
      </c>
      <c r="C211" s="15" t="str">
        <f>IFERROR(VLOOKUP(B211,MasterSheet!$B$6:$N$521,3,),"n/a")</f>
        <v>BB.Q Papertray</v>
      </c>
      <c r="D211" s="510">
        <v>1</v>
      </c>
      <c r="E211" s="505" t="str">
        <f>IFERROR(VLOOKUP(B211,[4]MasterSheet!$B$6:$N$515,10,),"N/a")</f>
        <v>ea</v>
      </c>
      <c r="F211" s="506">
        <f>IFERROR(VLOOKUP(B211,MasterSheet!$B$6:$N$521,11,),"N/a")</f>
        <v>600</v>
      </c>
      <c r="G211" s="488">
        <f t="shared" si="59"/>
        <v>600</v>
      </c>
      <c r="H211" s="905"/>
      <c r="I211" s="905"/>
      <c r="J211" s="491">
        <f>D211*$J$200</f>
        <v>18</v>
      </c>
      <c r="K211" s="501"/>
      <c r="L211" s="501">
        <f t="shared" si="62"/>
        <v>18</v>
      </c>
      <c r="M211" s="493"/>
      <c r="N211" s="507"/>
      <c r="O211" s="449" t="e">
        <f>((#REF!-#REF!)/#REF!)*100</f>
        <v>#REF!</v>
      </c>
    </row>
    <row r="212" spans="2:15" ht="14.25" hidden="1" customHeight="1" outlineLevel="1">
      <c r="B212" s="523" t="s">
        <v>1364</v>
      </c>
      <c r="C212" s="15" t="str">
        <f>IFERROR(VLOOKUP(B212,MasterSheet!$B$6:$N$521,3,),"n/a")</f>
        <v xml:space="preserve">BB.Q FOODPAIL M </v>
      </c>
      <c r="D212" s="510">
        <v>1</v>
      </c>
      <c r="E212" s="505" t="str">
        <f>IFERROR(VLOOKUP(B212,[4]MasterSheet!$B$6:$N$515,10,),"N/a")</f>
        <v>ea</v>
      </c>
      <c r="F212" s="506">
        <f>IFERROR(VLOOKUP(B212,MasterSheet!$B$6:$N$521,11,),"N/a")</f>
        <v>1204</v>
      </c>
      <c r="G212" s="488">
        <f t="shared" si="59"/>
        <v>1204</v>
      </c>
      <c r="H212" s="905"/>
      <c r="I212" s="905"/>
      <c r="J212" s="491"/>
      <c r="K212" s="501">
        <f>D212*$K$200</f>
        <v>0</v>
      </c>
      <c r="L212" s="501">
        <f t="shared" si="62"/>
        <v>0</v>
      </c>
      <c r="M212" s="493"/>
      <c r="N212" s="507"/>
      <c r="O212" s="449" t="e">
        <f>((#REF!-#REF!)/#REF!)*100</f>
        <v>#REF!</v>
      </c>
    </row>
    <row r="213" spans="2:15" ht="14.25" hidden="1" customHeight="1" outlineLevel="1">
      <c r="B213" s="523" t="s">
        <v>1365</v>
      </c>
      <c r="C213" s="15" t="str">
        <f>IFERROR(VLOOKUP(B213,MasterSheet!$B$6:$N$521,3,),"n/a")</f>
        <v>Drink Package(16oz)</v>
      </c>
      <c r="D213" s="510">
        <v>1</v>
      </c>
      <c r="E213" s="505" t="str">
        <f>IFERROR(VLOOKUP(B213,[4]MasterSheet!$B$6:$N$515,10,),"N/a")</f>
        <v>ea</v>
      </c>
      <c r="F213" s="506">
        <f>IFERROR(VLOOKUP(B213,MasterSheet!$B$6:$N$521,11,),"N/a")</f>
        <v>750</v>
      </c>
      <c r="G213" s="488">
        <f t="shared" si="59"/>
        <v>750</v>
      </c>
      <c r="H213" s="905"/>
      <c r="I213" s="905"/>
      <c r="J213" s="491">
        <f>D213*$J$200</f>
        <v>18</v>
      </c>
      <c r="K213" s="501">
        <f>D213*$K$200</f>
        <v>0</v>
      </c>
      <c r="L213" s="501">
        <f t="shared" si="62"/>
        <v>18</v>
      </c>
      <c r="M213" s="493"/>
      <c r="N213" s="507"/>
      <c r="O213" s="449" t="e">
        <f>((#REF!-#REF!)/#REF!)*100</f>
        <v>#REF!</v>
      </c>
    </row>
    <row r="214" spans="2:15" ht="14.25" hidden="1" customHeight="1" outlineLevel="1">
      <c r="B214" s="523" t="s">
        <v>1385</v>
      </c>
      <c r="C214" s="15" t="str">
        <f>IFERROR(VLOOKUP(B214,MasterSheet!$B$6:$N$521,3,),"n/a")</f>
        <v>DRINK PACKAGE LID(16OZ)</v>
      </c>
      <c r="D214" s="510">
        <v>1</v>
      </c>
      <c r="E214" s="505" t="str">
        <f>IFERROR(VLOOKUP(B214,[4]MasterSheet!$B$6:$N$515,10,),"N/a")</f>
        <v>ea</v>
      </c>
      <c r="F214" s="506">
        <f>IFERROR(VLOOKUP(B214,MasterSheet!$B$6:$N$521,11,),"N/a")</f>
        <v>200</v>
      </c>
      <c r="G214" s="488">
        <f t="shared" si="59"/>
        <v>200</v>
      </c>
      <c r="H214" s="905"/>
      <c r="I214" s="905"/>
      <c r="J214" s="491"/>
      <c r="K214" s="501">
        <f>D214*$K$200</f>
        <v>0</v>
      </c>
      <c r="L214" s="501">
        <f t="shared" si="62"/>
        <v>0</v>
      </c>
      <c r="M214" s="493"/>
      <c r="N214" s="507"/>
      <c r="O214" s="449" t="e">
        <f>((#REF!-#REF!)/#REF!)*100</f>
        <v>#REF!</v>
      </c>
    </row>
    <row r="215" spans="2:15" ht="14.65" hidden="1" customHeight="1" outlineLevel="1" thickBot="1">
      <c r="B215" s="524" t="s">
        <v>1347</v>
      </c>
      <c r="C215" s="512" t="str">
        <f>IFERROR(VLOOKUP(B215,MasterSheet!$B$6:$N$421,3,),"n/a")</f>
        <v>PARCHMENT PAPER / WRAPPING RICE</v>
      </c>
      <c r="D215" s="513">
        <v>1</v>
      </c>
      <c r="E215" s="514" t="str">
        <f>IFERROR(VLOOKUP(B215,[4]MasterSheet!B73:N586,10,),"N/a")</f>
        <v>ea</v>
      </c>
      <c r="F215" s="515">
        <f>IFERROR(VLOOKUP(B215,MasterSheet!$B$6:$N$421,11,),"N/a")</f>
        <v>216.45</v>
      </c>
      <c r="G215" s="516">
        <f t="shared" si="59"/>
        <v>216.45</v>
      </c>
      <c r="H215" s="916"/>
      <c r="I215" s="916"/>
      <c r="J215" s="517">
        <f>D215*$J$200</f>
        <v>18</v>
      </c>
      <c r="K215" s="518">
        <f>D215*$K$200</f>
        <v>0</v>
      </c>
      <c r="L215" s="518">
        <f t="shared" si="62"/>
        <v>18</v>
      </c>
      <c r="M215" s="519"/>
      <c r="N215" s="520"/>
      <c r="O215" s="449" t="e">
        <f>((#REF!-#REF!)/#REF!)*100</f>
        <v>#REF!</v>
      </c>
    </row>
    <row r="216" spans="2:15" collapsed="1">
      <c r="B216" s="219" t="s">
        <v>1388</v>
      </c>
      <c r="C216" s="15" t="s">
        <v>1389</v>
      </c>
      <c r="D216" s="184">
        <f>E216*(1+$E$8)</f>
        <v>42900</v>
      </c>
      <c r="E216" s="526">
        <v>39000</v>
      </c>
      <c r="F216" s="490">
        <f>H219</f>
        <v>11019.94800016798</v>
      </c>
      <c r="G216" s="489">
        <f>I219</f>
        <v>11823.94800016798</v>
      </c>
      <c r="H216" s="500">
        <f>F216/E216</f>
        <v>0.28256276923507639</v>
      </c>
      <c r="I216" s="500">
        <f>G216/E216</f>
        <v>0.30317815385046104</v>
      </c>
      <c r="J216" s="501">
        <f>VLOOKUP(B216,'SALES MIX'!B14:J104,4)</f>
        <v>23</v>
      </c>
      <c r="K216" s="501">
        <f>VLOOKUP(B216,'SALES MIX'!B14:J104,5)</f>
        <v>5</v>
      </c>
      <c r="L216" s="221">
        <f>((F216*J216)+(G216*K216))/((J216+K216)*E216)</f>
        <v>0.28624408791639505</v>
      </c>
      <c r="M216" s="493"/>
      <c r="N216" s="493"/>
      <c r="O216" s="449" t="e">
        <f>((#REF!-#REF!)/#REF!)*100</f>
        <v>#REF!</v>
      </c>
    </row>
    <row r="217" spans="2:15" ht="14.65" hidden="1" customHeight="1" outlineLevel="1" thickTop="1">
      <c r="B217" s="913" t="s">
        <v>1304</v>
      </c>
      <c r="C217" s="914" t="s">
        <v>1305</v>
      </c>
      <c r="D217" s="915" t="s">
        <v>1306</v>
      </c>
      <c r="E217" s="915" t="s">
        <v>60</v>
      </c>
      <c r="F217" s="915" t="s">
        <v>1307</v>
      </c>
      <c r="G217" s="915" t="s">
        <v>1315</v>
      </c>
      <c r="H217" s="907" t="s">
        <v>1312</v>
      </c>
      <c r="I217" s="907"/>
      <c r="J217" s="907" t="s">
        <v>1319</v>
      </c>
      <c r="K217" s="907"/>
      <c r="L217" s="908" t="s">
        <v>1313</v>
      </c>
      <c r="M217" s="907" t="s">
        <v>1317</v>
      </c>
      <c r="N217" s="917"/>
      <c r="O217" s="449"/>
    </row>
    <row r="218" spans="2:15" ht="14.65" hidden="1" customHeight="1" outlineLevel="1" thickBot="1">
      <c r="B218" s="894"/>
      <c r="C218" s="896"/>
      <c r="D218" s="898"/>
      <c r="E218" s="898"/>
      <c r="F218" s="898"/>
      <c r="G218" s="898"/>
      <c r="H218" s="502" t="s">
        <v>1309</v>
      </c>
      <c r="I218" s="502" t="s">
        <v>1308</v>
      </c>
      <c r="J218" s="502" t="s">
        <v>1309</v>
      </c>
      <c r="K218" s="502" t="s">
        <v>1308</v>
      </c>
      <c r="L218" s="901"/>
      <c r="M218" s="903"/>
      <c r="N218" s="904"/>
      <c r="O218" s="449"/>
    </row>
    <row r="219" spans="2:15" ht="14.25" hidden="1" customHeight="1" outlineLevel="1">
      <c r="B219" s="504" t="s">
        <v>631</v>
      </c>
      <c r="C219" s="15" t="str">
        <f>IFERROR(VLOOKUP(B219,MasterSheet!$B$6:$N$150,3,),"n/a")</f>
        <v>Injected Whole Chicken (1.25kg)</v>
      </c>
      <c r="D219" s="499">
        <f>1250/9</f>
        <v>138.88888888888889</v>
      </c>
      <c r="E219" s="505" t="str">
        <f>IFERROR(VLOOKUP(B219,[4]MasterSheet!$B$6:$N$144,10,),"N/a")</f>
        <v>g</v>
      </c>
      <c r="F219" s="506">
        <f>IFERROR(VLOOKUP(B219,MasterSheet!$B$6:$N$150,11,),"N/a")</f>
        <v>34.314223999999996</v>
      </c>
      <c r="G219" s="488">
        <f>IFERROR(D219*F219,"_")</f>
        <v>4765.8644444444435</v>
      </c>
      <c r="H219" s="905">
        <f>SUM(G219:G227,G229,G231)</f>
        <v>11019.94800016798</v>
      </c>
      <c r="I219" s="905">
        <f>SUM(G219:G226,G228,G229,G231,G230)</f>
        <v>11823.94800016798</v>
      </c>
      <c r="J219" s="491">
        <f>D219*$J$216</f>
        <v>3194.4444444444443</v>
      </c>
      <c r="K219" s="501">
        <f>D219*$K$216</f>
        <v>694.44444444444446</v>
      </c>
      <c r="L219" s="501">
        <f>SUM(J219:K219)</f>
        <v>3888.8888888888887</v>
      </c>
      <c r="M219" s="493"/>
      <c r="N219" s="507"/>
      <c r="O219" s="449"/>
    </row>
    <row r="220" spans="2:15" ht="14.25" hidden="1" customHeight="1" outlineLevel="1">
      <c r="B220" s="508" t="s">
        <v>758</v>
      </c>
      <c r="C220" s="15" t="str">
        <f>IFERROR(VLOOKUP(B220,MasterSheet!$B$6:$N$150,3,),"n/a")</f>
        <v>Honey pepper Sauce</v>
      </c>
      <c r="D220" s="499">
        <f>D219*11%</f>
        <v>15.277777777777777</v>
      </c>
      <c r="E220" s="505" t="str">
        <f>IFERROR(VLOOKUP(B220,[4]MasterSheet!$B$6:$N$144,10,),"N/a")</f>
        <v>g</v>
      </c>
      <c r="F220" s="506">
        <f>IFERROR(VLOOKUP(B220,MasterSheet!$B$6:$N$150,11,),"N/a")</f>
        <v>118.99739583333333</v>
      </c>
      <c r="G220" s="488">
        <f t="shared" ref="G220:G231" si="63">IFERROR(D220*F220,"_")</f>
        <v>1818.0157696759256</v>
      </c>
      <c r="H220" s="905"/>
      <c r="I220" s="905"/>
      <c r="J220" s="491">
        <f t="shared" ref="J220:J226" si="64">D220*$J$216</f>
        <v>351.38888888888886</v>
      </c>
      <c r="K220" s="501">
        <f t="shared" ref="K220:K226" si="65">D220*$K$216</f>
        <v>76.388888888888886</v>
      </c>
      <c r="L220" s="501">
        <f t="shared" ref="L220:L231" si="66">SUM(J220:K220)</f>
        <v>427.77777777777771</v>
      </c>
      <c r="M220" s="493"/>
      <c r="N220" s="507"/>
      <c r="O220" s="449"/>
    </row>
    <row r="221" spans="2:15" ht="14.25" hidden="1" customHeight="1" outlineLevel="1">
      <c r="B221" s="508" t="s">
        <v>999</v>
      </c>
      <c r="C221" s="15" t="str">
        <f>IFERROR(VLOOKUP(B221,MasterSheet!$B$6:$N$150,3,),"n/a")</f>
        <v>Palm Oil</v>
      </c>
      <c r="D221" s="499">
        <f>D219*0.1</f>
        <v>13.888888888888889</v>
      </c>
      <c r="E221" s="505" t="str">
        <f>IFERROR(VLOOKUP(B221,[4]MasterSheet!$B$6:$N$144,10,),"N/a")</f>
        <v>g</v>
      </c>
      <c r="F221" s="506">
        <f>IFERROR(VLOOKUP(B221,MasterSheet!$B$6:$N$150,11,),"N/a")</f>
        <v>25.580404040404041</v>
      </c>
      <c r="G221" s="488">
        <f t="shared" si="63"/>
        <v>355.28338945005612</v>
      </c>
      <c r="H221" s="905"/>
      <c r="I221" s="905"/>
      <c r="J221" s="491">
        <f t="shared" si="64"/>
        <v>319.44444444444446</v>
      </c>
      <c r="K221" s="501">
        <f t="shared" si="65"/>
        <v>69.444444444444443</v>
      </c>
      <c r="L221" s="501">
        <f t="shared" si="66"/>
        <v>388.88888888888891</v>
      </c>
      <c r="M221" s="493"/>
      <c r="N221" s="507"/>
      <c r="O221" s="449"/>
    </row>
    <row r="222" spans="2:15" ht="14.25" hidden="1" customHeight="1" outlineLevel="1">
      <c r="B222" s="508" t="s">
        <v>1361</v>
      </c>
      <c r="C222" s="15" t="str">
        <f>IFERROR(VLOOKUP(B222,MasterSheet!$B$6:$N$150,3,),"n/a")</f>
        <v>Scallion(Green Onion)</v>
      </c>
      <c r="D222" s="499">
        <v>5</v>
      </c>
      <c r="E222" s="505" t="str">
        <f>IFERROR(VLOOKUP(B222,[4]MasterSheet!$B$6:$N$144,10,),"N/a")</f>
        <v>g</v>
      </c>
      <c r="F222" s="506">
        <f>IFERROR(VLOOKUP(B222,MasterSheet!$B$6:$N$150,11,),"N/a")</f>
        <v>27.705263157894738</v>
      </c>
      <c r="G222" s="488">
        <f t="shared" si="63"/>
        <v>138.5263157894737</v>
      </c>
      <c r="H222" s="905"/>
      <c r="I222" s="905"/>
      <c r="J222" s="491">
        <f t="shared" si="64"/>
        <v>115</v>
      </c>
      <c r="K222" s="501">
        <f t="shared" si="65"/>
        <v>25</v>
      </c>
      <c r="L222" s="501">
        <f t="shared" si="66"/>
        <v>140</v>
      </c>
      <c r="M222" s="493"/>
      <c r="N222" s="507"/>
      <c r="O222" s="449"/>
    </row>
    <row r="223" spans="2:15" ht="14.25" hidden="1" customHeight="1" outlineLevel="1">
      <c r="B223" s="508" t="s">
        <v>785</v>
      </c>
      <c r="C223" s="15" t="str">
        <f>IFERROR(VLOOKUP(B223,MasterSheet!$B$6:$N$150,3,),"n/a")</f>
        <v xml:space="preserve">Black Tea (w/water) </v>
      </c>
      <c r="D223" s="499">
        <v>250</v>
      </c>
      <c r="E223" s="505" t="str">
        <f>IFERROR(VLOOKUP(B223,[4]MasterSheet!$B$6:$N$144,10,),"N/a")</f>
        <v>g</v>
      </c>
      <c r="F223" s="506">
        <f>IFERROR(VLOOKUP(B223,MasterSheet!$B$6:$N$150,11,),"N/a")</f>
        <v>1.6818181818181819</v>
      </c>
      <c r="G223" s="488">
        <f t="shared" si="63"/>
        <v>420.4545454545455</v>
      </c>
      <c r="H223" s="905"/>
      <c r="I223" s="905"/>
      <c r="J223" s="491">
        <f t="shared" si="64"/>
        <v>5750</v>
      </c>
      <c r="K223" s="501">
        <f t="shared" si="65"/>
        <v>1250</v>
      </c>
      <c r="L223" s="501">
        <f t="shared" si="66"/>
        <v>7000</v>
      </c>
      <c r="M223" s="493"/>
      <c r="N223" s="507"/>
      <c r="O223" s="449"/>
    </row>
    <row r="224" spans="2:15" ht="14.25" hidden="1" customHeight="1" outlineLevel="1">
      <c r="B224" s="508" t="s">
        <v>1029</v>
      </c>
      <c r="C224" s="15" t="str">
        <f>IFERROR(VLOOKUP(B224,MasterSheet!$B$6:$N$150,3,),"n/a")</f>
        <v>GIMBORI (Crispy Seaweed)</v>
      </c>
      <c r="D224" s="499">
        <v>1</v>
      </c>
      <c r="E224" s="505" t="str">
        <f>IFERROR(VLOOKUP(B224,[4]MasterSheet!$B$6:$N$144,10,),"N/a")</f>
        <v>g</v>
      </c>
      <c r="F224" s="506">
        <f>IFERROR(VLOOKUP(B224,MasterSheet!$B$6:$N$150,11,),"N/a")</f>
        <v>390.90909090909093</v>
      </c>
      <c r="G224" s="488">
        <f t="shared" si="63"/>
        <v>390.90909090909093</v>
      </c>
      <c r="H224" s="905"/>
      <c r="I224" s="905"/>
      <c r="J224" s="491">
        <f t="shared" si="64"/>
        <v>23</v>
      </c>
      <c r="K224" s="501">
        <f t="shared" si="65"/>
        <v>5</v>
      </c>
      <c r="L224" s="501">
        <f t="shared" si="66"/>
        <v>28</v>
      </c>
      <c r="M224" s="493"/>
      <c r="N224" s="507"/>
      <c r="O224" s="449"/>
    </row>
    <row r="225" spans="2:15" ht="14.25" hidden="1" customHeight="1" outlineLevel="1">
      <c r="B225" s="509" t="s">
        <v>1328</v>
      </c>
      <c r="C225" s="15" t="str">
        <f>VLOOKUP(B225,CK!$B$8:$L$87,4,)</f>
        <v>Battering Powder Mix C Solution(Yellow)</v>
      </c>
      <c r="D225" s="510">
        <f>D219*0.21</f>
        <v>29.166666666666664</v>
      </c>
      <c r="E225" s="505" t="str">
        <f>VLOOKUP(B225,[4]CK!$B$8:$L$87,9,)</f>
        <v>g</v>
      </c>
      <c r="F225" s="506">
        <f>VLOOKUP(B225,CK!$B$8:$L$87,10,)</f>
        <v>23.80952380952381</v>
      </c>
      <c r="G225" s="488">
        <f t="shared" si="63"/>
        <v>694.44444444444446</v>
      </c>
      <c r="H225" s="905"/>
      <c r="I225" s="905"/>
      <c r="J225" s="491">
        <f t="shared" si="64"/>
        <v>670.83333333333326</v>
      </c>
      <c r="K225" s="501">
        <f t="shared" si="65"/>
        <v>145.83333333333331</v>
      </c>
      <c r="L225" s="501">
        <f t="shared" si="66"/>
        <v>816.66666666666652</v>
      </c>
      <c r="M225" s="493"/>
      <c r="N225" s="507"/>
      <c r="O225" s="449"/>
    </row>
    <row r="226" spans="2:15" ht="14.25" hidden="1" customHeight="1" outlineLevel="1">
      <c r="B226" s="509" t="s">
        <v>1363</v>
      </c>
      <c r="C226" s="15" t="str">
        <f>VLOOKUP(B226,CK!$B$8:$L$87,4,)</f>
        <v>Steamed Rice</v>
      </c>
      <c r="D226" s="510">
        <v>180</v>
      </c>
      <c r="E226" s="505" t="str">
        <f>VLOOKUP(B226,[4]CK!$B$8:$L$87,9,)</f>
        <v>g</v>
      </c>
      <c r="F226" s="506">
        <f>VLOOKUP(B226,CK!$B$8:$L$87,10,)</f>
        <v>4.833333333333333</v>
      </c>
      <c r="G226" s="488">
        <f t="shared" si="63"/>
        <v>870</v>
      </c>
      <c r="H226" s="905"/>
      <c r="I226" s="905"/>
      <c r="J226" s="491">
        <f t="shared" si="64"/>
        <v>4140</v>
      </c>
      <c r="K226" s="501">
        <f t="shared" si="65"/>
        <v>900</v>
      </c>
      <c r="L226" s="501">
        <f t="shared" si="66"/>
        <v>5040</v>
      </c>
      <c r="M226" s="493"/>
      <c r="N226" s="507"/>
      <c r="O226" s="449"/>
    </row>
    <row r="227" spans="2:15" ht="14.25" hidden="1" customHeight="1" outlineLevel="1">
      <c r="B227" s="523" t="s">
        <v>1343</v>
      </c>
      <c r="C227" s="15" t="str">
        <f>IFERROR(VLOOKUP(B227,MasterSheet!$B$6:$N$521,3,),"n/a")</f>
        <v>BB.Q Papertray</v>
      </c>
      <c r="D227" s="510">
        <v>1</v>
      </c>
      <c r="E227" s="505" t="str">
        <f>IFERROR(VLOOKUP(B227,[4]MasterSheet!$B$6:$N$515,10,),"N/a")</f>
        <v>ea</v>
      </c>
      <c r="F227" s="506">
        <f>IFERROR(VLOOKUP(B227,MasterSheet!$B$6:$N$521,11,),"N/a")</f>
        <v>600</v>
      </c>
      <c r="G227" s="488">
        <f t="shared" si="63"/>
        <v>600</v>
      </c>
      <c r="H227" s="905"/>
      <c r="I227" s="905"/>
      <c r="J227" s="491">
        <f>D227*$J$216</f>
        <v>23</v>
      </c>
      <c r="K227" s="501"/>
      <c r="L227" s="501">
        <f t="shared" si="66"/>
        <v>23</v>
      </c>
      <c r="M227" s="493"/>
      <c r="N227" s="507"/>
      <c r="O227" s="449"/>
    </row>
    <row r="228" spans="2:15" ht="14.25" hidden="1" customHeight="1" outlineLevel="1">
      <c r="B228" s="523" t="s">
        <v>1364</v>
      </c>
      <c r="C228" s="15" t="str">
        <f>IFERROR(VLOOKUP(B228,MasterSheet!$B$6:$N$521,3,),"n/a")</f>
        <v xml:space="preserve">BB.Q FOODPAIL M </v>
      </c>
      <c r="D228" s="510">
        <v>1</v>
      </c>
      <c r="E228" s="505" t="str">
        <f>IFERROR(VLOOKUP(B228,[4]MasterSheet!$B$6:$N$515,10,),"N/a")</f>
        <v>ea</v>
      </c>
      <c r="F228" s="506">
        <f>IFERROR(VLOOKUP(B228,MasterSheet!$B$6:$N$521,11,),"N/a")</f>
        <v>1204</v>
      </c>
      <c r="G228" s="488">
        <f t="shared" si="63"/>
        <v>1204</v>
      </c>
      <c r="H228" s="905"/>
      <c r="I228" s="905"/>
      <c r="J228" s="491"/>
      <c r="K228" s="501">
        <f>D228*$K$216</f>
        <v>5</v>
      </c>
      <c r="L228" s="501">
        <f t="shared" si="66"/>
        <v>5</v>
      </c>
      <c r="M228" s="493"/>
      <c r="N228" s="507"/>
      <c r="O228" s="449"/>
    </row>
    <row r="229" spans="2:15" ht="14.25" hidden="1" customHeight="1" outlineLevel="1">
      <c r="B229" s="523" t="s">
        <v>1365</v>
      </c>
      <c r="C229" s="15" t="str">
        <f>IFERROR(VLOOKUP(B229,MasterSheet!$B$6:$N$521,3,),"n/a")</f>
        <v>Drink Package(16oz)</v>
      </c>
      <c r="D229" s="510">
        <v>1</v>
      </c>
      <c r="E229" s="505" t="str">
        <f>IFERROR(VLOOKUP(B229,[4]MasterSheet!$B$6:$N$515,10,),"N/a")</f>
        <v>ea</v>
      </c>
      <c r="F229" s="506">
        <f>IFERROR(VLOOKUP(B229,MasterSheet!$B$6:$N$521,11,),"N/a")</f>
        <v>750</v>
      </c>
      <c r="G229" s="488">
        <f t="shared" si="63"/>
        <v>750</v>
      </c>
      <c r="H229" s="905"/>
      <c r="I229" s="905"/>
      <c r="J229" s="491">
        <f>D229*$J$216</f>
        <v>23</v>
      </c>
      <c r="K229" s="501">
        <f>D229*$K$216</f>
        <v>5</v>
      </c>
      <c r="L229" s="501">
        <f t="shared" si="66"/>
        <v>28</v>
      </c>
      <c r="M229" s="493"/>
      <c r="N229" s="507"/>
      <c r="O229" s="449"/>
    </row>
    <row r="230" spans="2:15" ht="14.25" hidden="1" customHeight="1" outlineLevel="1">
      <c r="B230" s="523" t="s">
        <v>1385</v>
      </c>
      <c r="C230" s="15" t="str">
        <f>IFERROR(VLOOKUP(B230,MasterSheet!$B$6:$N$521,3,),"n/a")</f>
        <v>DRINK PACKAGE LID(16OZ)</v>
      </c>
      <c r="D230" s="510">
        <v>1</v>
      </c>
      <c r="E230" s="505" t="str">
        <f>IFERROR(VLOOKUP(B230,[4]MasterSheet!$B$6:$N$515,10,),"N/a")</f>
        <v>ea</v>
      </c>
      <c r="F230" s="506">
        <f>IFERROR(VLOOKUP(B230,MasterSheet!$B$6:$N$521,11,),"N/a")</f>
        <v>200</v>
      </c>
      <c r="G230" s="488">
        <f t="shared" si="63"/>
        <v>200</v>
      </c>
      <c r="H230" s="905"/>
      <c r="I230" s="905"/>
      <c r="J230" s="491"/>
      <c r="K230" s="501">
        <f>D230*$K$216</f>
        <v>5</v>
      </c>
      <c r="L230" s="501">
        <f t="shared" si="66"/>
        <v>5</v>
      </c>
      <c r="M230" s="493"/>
      <c r="N230" s="507"/>
      <c r="O230" s="449"/>
    </row>
    <row r="231" spans="2:15" ht="14.65" hidden="1" customHeight="1" outlineLevel="1" thickBot="1">
      <c r="B231" s="524" t="s">
        <v>1347</v>
      </c>
      <c r="C231" s="512" t="str">
        <f>IFERROR(VLOOKUP(B231,MasterSheet!$B$6:$N$421,3,),"n/a")</f>
        <v>PARCHMENT PAPER / WRAPPING RICE</v>
      </c>
      <c r="D231" s="513">
        <v>1</v>
      </c>
      <c r="E231" s="514" t="str">
        <f>IFERROR(VLOOKUP(B231,[4]MasterSheet!B78:N602,10,),"N/a")</f>
        <v>ea</v>
      </c>
      <c r="F231" s="515">
        <f>IFERROR(VLOOKUP(B231,MasterSheet!$B$6:$N$421,11,),"N/a")</f>
        <v>216.45</v>
      </c>
      <c r="G231" s="516">
        <f t="shared" si="63"/>
        <v>216.45</v>
      </c>
      <c r="H231" s="916"/>
      <c r="I231" s="916"/>
      <c r="J231" s="517">
        <f>D231*$J$216</f>
        <v>23</v>
      </c>
      <c r="K231" s="518">
        <f>D231*$K$216</f>
        <v>5</v>
      </c>
      <c r="L231" s="518">
        <f t="shared" si="66"/>
        <v>28</v>
      </c>
      <c r="M231" s="519"/>
      <c r="N231" s="520"/>
      <c r="O231" s="449"/>
    </row>
    <row r="232" spans="2:15" collapsed="1">
      <c r="B232" s="219" t="s">
        <v>1390</v>
      </c>
      <c r="C232" s="15" t="s">
        <v>1391</v>
      </c>
      <c r="D232" s="184">
        <f>E232*(1+$E$8)</f>
        <v>42900</v>
      </c>
      <c r="E232" s="526">
        <v>39000</v>
      </c>
      <c r="F232" s="174">
        <f>H235</f>
        <v>11213.604778338946</v>
      </c>
      <c r="G232" s="489">
        <f>I235</f>
        <v>12017.604778338946</v>
      </c>
      <c r="H232" s="500">
        <f>F232/E232</f>
        <v>0.28752832764971659</v>
      </c>
      <c r="I232" s="500">
        <f>G232/E232</f>
        <v>0.30814371226510118</v>
      </c>
      <c r="J232" s="501">
        <f>VLOOKUP(B232,'SALES MIX'!B14:J104,4)</f>
        <v>0</v>
      </c>
      <c r="K232" s="501">
        <f>VLOOKUP(B232,'SALES MIX'!B14:J104,5)</f>
        <v>0</v>
      </c>
      <c r="L232" s="221" t="e">
        <f>((F232*J232)+(G232*K232))/((J232+K232)*E232)</f>
        <v>#DIV/0!</v>
      </c>
      <c r="M232" s="493"/>
      <c r="N232" s="493"/>
      <c r="O232" s="449"/>
    </row>
    <row r="233" spans="2:15" ht="14.65" hidden="1" customHeight="1" outlineLevel="1" thickTop="1">
      <c r="B233" s="913" t="s">
        <v>1304</v>
      </c>
      <c r="C233" s="914" t="s">
        <v>1305</v>
      </c>
      <c r="D233" s="915" t="s">
        <v>1306</v>
      </c>
      <c r="E233" s="915" t="s">
        <v>60</v>
      </c>
      <c r="F233" s="915" t="s">
        <v>1307</v>
      </c>
      <c r="G233" s="915" t="s">
        <v>1315</v>
      </c>
      <c r="H233" s="907" t="s">
        <v>1312</v>
      </c>
      <c r="I233" s="907"/>
      <c r="J233" s="907" t="s">
        <v>1319</v>
      </c>
      <c r="K233" s="907"/>
      <c r="L233" s="908" t="s">
        <v>1313</v>
      </c>
      <c r="M233" s="907" t="s">
        <v>1317</v>
      </c>
      <c r="N233" s="917"/>
      <c r="O233" s="449"/>
    </row>
    <row r="234" spans="2:15" ht="14.65" hidden="1" customHeight="1" outlineLevel="1" thickBot="1">
      <c r="B234" s="894"/>
      <c r="C234" s="896"/>
      <c r="D234" s="898"/>
      <c r="E234" s="898"/>
      <c r="F234" s="898"/>
      <c r="G234" s="898"/>
      <c r="H234" s="502" t="s">
        <v>1309</v>
      </c>
      <c r="I234" s="502" t="s">
        <v>1308</v>
      </c>
      <c r="J234" s="502" t="s">
        <v>1309</v>
      </c>
      <c r="K234" s="502" t="s">
        <v>1308</v>
      </c>
      <c r="L234" s="901"/>
      <c r="M234" s="903"/>
      <c r="N234" s="904"/>
      <c r="O234" s="449"/>
    </row>
    <row r="235" spans="2:15" ht="14.25" hidden="1" customHeight="1" outlineLevel="1">
      <c r="B235" s="504" t="s">
        <v>631</v>
      </c>
      <c r="C235" s="15" t="str">
        <f>IFERROR(VLOOKUP(B235,MasterSheet!$B$6:$N$150,3,),"n/a")</f>
        <v>Injected Whole Chicken (1.25kg)</v>
      </c>
      <c r="D235" s="499">
        <f>1250/9</f>
        <v>138.88888888888889</v>
      </c>
      <c r="E235" s="505" t="str">
        <f>IFERROR(VLOOKUP(B235,[4]MasterSheet!$B$6:$N$144,10,),"N/a")</f>
        <v>g</v>
      </c>
      <c r="F235" s="506">
        <f>IFERROR(VLOOKUP(B235,MasterSheet!$B$6:$N$150,11,),"N/a")</f>
        <v>34.314223999999996</v>
      </c>
      <c r="G235" s="488">
        <f>IFERROR(D235*F235,"_")</f>
        <v>4765.8644444444435</v>
      </c>
      <c r="H235" s="905">
        <f>SUM(G235:G243,G245,G247)</f>
        <v>11213.604778338946</v>
      </c>
      <c r="I235" s="905">
        <f>SUM(G235:G242,G244,G245,G247,G246)</f>
        <v>12017.604778338946</v>
      </c>
      <c r="J235" s="491">
        <f>D235*$J$232</f>
        <v>0</v>
      </c>
      <c r="K235" s="501">
        <f>D235*$K$232</f>
        <v>0</v>
      </c>
      <c r="L235" s="501">
        <f>SUM(J235:K235)</f>
        <v>0</v>
      </c>
      <c r="M235" s="493"/>
      <c r="N235" s="507"/>
      <c r="O235" s="449"/>
    </row>
    <row r="236" spans="2:15" ht="14.25" hidden="1" customHeight="1" outlineLevel="1">
      <c r="B236" s="508" t="s">
        <v>664</v>
      </c>
      <c r="C236" s="15" t="str">
        <f>IFERROR(VLOOKUP(B236,MasterSheet!$B$6:$N$150,3,),"n/a")</f>
        <v>Mala Hot Sauce</v>
      </c>
      <c r="D236" s="499">
        <f>D235*12%</f>
        <v>16.666666666666664</v>
      </c>
      <c r="E236" s="505" t="str">
        <f>IFERROR(VLOOKUP(B236,[4]MasterSheet!$B$6:$N$144,10,),"N/a")</f>
        <v>g</v>
      </c>
      <c r="F236" s="506">
        <f>IFERROR(VLOOKUP(B236,MasterSheet!$B$6:$N$150,11,),"N/a")</f>
        <v>125.26041666666667</v>
      </c>
      <c r="G236" s="488">
        <f t="shared" ref="G236:G247" si="67">IFERROR(D236*F236,"_")</f>
        <v>2087.6736111111109</v>
      </c>
      <c r="H236" s="905"/>
      <c r="I236" s="905"/>
      <c r="J236" s="491">
        <f t="shared" ref="J236:J242" si="68">D236*$J$232</f>
        <v>0</v>
      </c>
      <c r="K236" s="501">
        <f t="shared" ref="K236:K242" si="69">D236*$K$232</f>
        <v>0</v>
      </c>
      <c r="L236" s="501">
        <f t="shared" ref="L236:L247" si="70">SUM(J236:K236)</f>
        <v>0</v>
      </c>
      <c r="M236" s="493"/>
      <c r="N236" s="507"/>
      <c r="O236" s="449"/>
    </row>
    <row r="237" spans="2:15" ht="14.25" hidden="1" customHeight="1" outlineLevel="1">
      <c r="B237" s="508" t="s">
        <v>999</v>
      </c>
      <c r="C237" s="15" t="str">
        <f>IFERROR(VLOOKUP(B237,MasterSheet!$B$6:$N$150,3,),"n/a")</f>
        <v>Palm Oil</v>
      </c>
      <c r="D237" s="499">
        <f>D235*0.1</f>
        <v>13.888888888888889</v>
      </c>
      <c r="E237" s="505" t="str">
        <f>IFERROR(VLOOKUP(B237,[4]MasterSheet!$B$6:$N$144,10,),"N/a")</f>
        <v>g</v>
      </c>
      <c r="F237" s="506">
        <f>IFERROR(VLOOKUP(B237,MasterSheet!$B$6:$N$150,11,),"N/a")</f>
        <v>25.580404040404041</v>
      </c>
      <c r="G237" s="488">
        <f t="shared" si="67"/>
        <v>355.28338945005612</v>
      </c>
      <c r="H237" s="905"/>
      <c r="I237" s="905"/>
      <c r="J237" s="491">
        <f t="shared" si="68"/>
        <v>0</v>
      </c>
      <c r="K237" s="501">
        <f t="shared" si="69"/>
        <v>0</v>
      </c>
      <c r="L237" s="501">
        <f t="shared" si="70"/>
        <v>0</v>
      </c>
      <c r="M237" s="493"/>
      <c r="N237" s="507"/>
      <c r="O237" s="449"/>
    </row>
    <row r="238" spans="2:15" ht="14.25" hidden="1" customHeight="1" outlineLevel="1">
      <c r="B238" s="508" t="s">
        <v>1355</v>
      </c>
      <c r="C238" s="15" t="str">
        <f>IFERROR(VLOOKUP(B238,MasterSheet!$B$6:$N$150,3,),"n/a")</f>
        <v>Crushed Peanut</v>
      </c>
      <c r="D238" s="499">
        <v>1</v>
      </c>
      <c r="E238" s="505" t="str">
        <f>IFERROR(VLOOKUP(B238,[4]MasterSheet!$B$6:$N$144,10,),"N/a")</f>
        <v>g</v>
      </c>
      <c r="F238" s="506">
        <f>IFERROR(VLOOKUP(B238,MasterSheet!$B$6:$N$150,11,),"N/a")</f>
        <v>62.525252525252526</v>
      </c>
      <c r="G238" s="488">
        <f t="shared" si="67"/>
        <v>62.525252525252526</v>
      </c>
      <c r="H238" s="905"/>
      <c r="I238" s="905"/>
      <c r="J238" s="491">
        <f t="shared" si="68"/>
        <v>0</v>
      </c>
      <c r="K238" s="501">
        <f t="shared" si="69"/>
        <v>0</v>
      </c>
      <c r="L238" s="501">
        <f t="shared" si="70"/>
        <v>0</v>
      </c>
      <c r="M238" s="493"/>
      <c r="N238" s="507"/>
      <c r="O238" s="449"/>
    </row>
    <row r="239" spans="2:15" ht="14.25" hidden="1" customHeight="1" outlineLevel="1">
      <c r="B239" s="508" t="s">
        <v>785</v>
      </c>
      <c r="C239" s="15" t="str">
        <f>IFERROR(VLOOKUP(B239,MasterSheet!$B$6:$N$150,3,),"n/a")</f>
        <v xml:space="preserve">Black Tea (w/water) </v>
      </c>
      <c r="D239" s="499">
        <v>250</v>
      </c>
      <c r="E239" s="505" t="str">
        <f>IFERROR(VLOOKUP(B239,[4]MasterSheet!$B$6:$N$144,10,),"N/a")</f>
        <v>g</v>
      </c>
      <c r="F239" s="506">
        <f>IFERROR(VLOOKUP(B239,MasterSheet!$B$6:$N$150,11,),"N/a")</f>
        <v>1.6818181818181819</v>
      </c>
      <c r="G239" s="488">
        <f t="shared" si="67"/>
        <v>420.4545454545455</v>
      </c>
      <c r="H239" s="905"/>
      <c r="I239" s="905"/>
      <c r="J239" s="491">
        <f t="shared" si="68"/>
        <v>0</v>
      </c>
      <c r="K239" s="501">
        <f t="shared" si="69"/>
        <v>0</v>
      </c>
      <c r="L239" s="501">
        <f t="shared" si="70"/>
        <v>0</v>
      </c>
      <c r="M239" s="493"/>
      <c r="N239" s="507"/>
      <c r="O239" s="449"/>
    </row>
    <row r="240" spans="2:15" ht="14.25" hidden="1" customHeight="1" outlineLevel="1">
      <c r="B240" s="508" t="s">
        <v>1029</v>
      </c>
      <c r="C240" s="15" t="str">
        <f>IFERROR(VLOOKUP(B240,MasterSheet!$B$6:$N$150,3,),"n/a")</f>
        <v>GIMBORI (Crispy Seaweed)</v>
      </c>
      <c r="D240" s="499">
        <v>1</v>
      </c>
      <c r="E240" s="505" t="str">
        <f>IFERROR(VLOOKUP(B240,[4]MasterSheet!$B$6:$N$144,10,),"N/a")</f>
        <v>g</v>
      </c>
      <c r="F240" s="506">
        <f>IFERROR(VLOOKUP(B240,MasterSheet!$B$6:$N$150,11,),"N/a")</f>
        <v>390.90909090909093</v>
      </c>
      <c r="G240" s="488">
        <f t="shared" si="67"/>
        <v>390.90909090909093</v>
      </c>
      <c r="H240" s="905"/>
      <c r="I240" s="905"/>
      <c r="J240" s="491">
        <f t="shared" si="68"/>
        <v>0</v>
      </c>
      <c r="K240" s="501">
        <f t="shared" si="69"/>
        <v>0</v>
      </c>
      <c r="L240" s="501">
        <f t="shared" si="70"/>
        <v>0</v>
      </c>
      <c r="M240" s="493"/>
      <c r="N240" s="507"/>
      <c r="O240" s="449"/>
    </row>
    <row r="241" spans="2:15" ht="14.25" hidden="1" customHeight="1" outlineLevel="1">
      <c r="B241" s="509" t="s">
        <v>1328</v>
      </c>
      <c r="C241" s="15" t="str">
        <f>VLOOKUP(B241,CK!$B$8:$L$87,4,)</f>
        <v>Battering Powder Mix C Solution(Yellow)</v>
      </c>
      <c r="D241" s="510">
        <f>D235*0.21</f>
        <v>29.166666666666664</v>
      </c>
      <c r="E241" s="505" t="str">
        <f>VLOOKUP(B241,[4]CK!$B$8:$L$87,9,)</f>
        <v>g</v>
      </c>
      <c r="F241" s="506">
        <f>VLOOKUP(B241,CK!$B$8:$L$87,10,)</f>
        <v>23.80952380952381</v>
      </c>
      <c r="G241" s="488">
        <f t="shared" si="67"/>
        <v>694.44444444444446</v>
      </c>
      <c r="H241" s="905"/>
      <c r="I241" s="905"/>
      <c r="J241" s="491">
        <f t="shared" si="68"/>
        <v>0</v>
      </c>
      <c r="K241" s="501">
        <f t="shared" si="69"/>
        <v>0</v>
      </c>
      <c r="L241" s="501">
        <f t="shared" si="70"/>
        <v>0</v>
      </c>
      <c r="M241" s="493"/>
      <c r="N241" s="507"/>
      <c r="O241" s="449"/>
    </row>
    <row r="242" spans="2:15" ht="14.25" hidden="1" customHeight="1" outlineLevel="1">
      <c r="B242" s="509" t="s">
        <v>1363</v>
      </c>
      <c r="C242" s="15" t="str">
        <f>VLOOKUP(B242,CK!$B$8:$L$87,4,)</f>
        <v>Steamed Rice</v>
      </c>
      <c r="D242" s="510">
        <v>180</v>
      </c>
      <c r="E242" s="505" t="str">
        <f>VLOOKUP(B242,[4]CK!$B$8:$L$87,9,)</f>
        <v>g</v>
      </c>
      <c r="F242" s="506">
        <f>VLOOKUP(B242,CK!$B$8:$L$87,10,)</f>
        <v>4.833333333333333</v>
      </c>
      <c r="G242" s="488">
        <f t="shared" si="67"/>
        <v>870</v>
      </c>
      <c r="H242" s="905"/>
      <c r="I242" s="905"/>
      <c r="J242" s="491">
        <f t="shared" si="68"/>
        <v>0</v>
      </c>
      <c r="K242" s="501">
        <f t="shared" si="69"/>
        <v>0</v>
      </c>
      <c r="L242" s="501">
        <f t="shared" si="70"/>
        <v>0</v>
      </c>
      <c r="M242" s="493"/>
      <c r="N242" s="507"/>
      <c r="O242" s="449"/>
    </row>
    <row r="243" spans="2:15" ht="14.25" hidden="1" customHeight="1" outlineLevel="1">
      <c r="B243" s="523" t="s">
        <v>1343</v>
      </c>
      <c r="C243" s="15" t="str">
        <f>IFERROR(VLOOKUP(B243,MasterSheet!$B$6:$N$521,3,),"n/a")</f>
        <v>BB.Q Papertray</v>
      </c>
      <c r="D243" s="510">
        <v>1</v>
      </c>
      <c r="E243" s="505" t="str">
        <f>IFERROR(VLOOKUP(B243,[4]MasterSheet!$B$6:$N$515,10,),"N/a")</f>
        <v>ea</v>
      </c>
      <c r="F243" s="506">
        <f>IFERROR(VLOOKUP(B243,MasterSheet!$B$6:$N$521,11,),"N/a")</f>
        <v>600</v>
      </c>
      <c r="G243" s="488">
        <f t="shared" si="67"/>
        <v>600</v>
      </c>
      <c r="H243" s="905"/>
      <c r="I243" s="905"/>
      <c r="J243" s="491">
        <f>D243*$J$232</f>
        <v>0</v>
      </c>
      <c r="K243" s="501"/>
      <c r="L243" s="501">
        <f t="shared" si="70"/>
        <v>0</v>
      </c>
      <c r="M243" s="493"/>
      <c r="N243" s="507"/>
      <c r="O243" s="449"/>
    </row>
    <row r="244" spans="2:15" ht="14.25" hidden="1" customHeight="1" outlineLevel="1">
      <c r="B244" s="523" t="s">
        <v>1364</v>
      </c>
      <c r="C244" s="15" t="str">
        <f>IFERROR(VLOOKUP(B244,MasterSheet!$B$6:$N$521,3,),"n/a")</f>
        <v xml:space="preserve">BB.Q FOODPAIL M </v>
      </c>
      <c r="D244" s="510">
        <v>1</v>
      </c>
      <c r="E244" s="505" t="str">
        <f>IFERROR(VLOOKUP(B244,[4]MasterSheet!$B$6:$N$515,10,),"N/a")</f>
        <v>ea</v>
      </c>
      <c r="F244" s="506">
        <f>IFERROR(VLOOKUP(B244,MasterSheet!$B$6:$N$521,11,),"N/a")</f>
        <v>1204</v>
      </c>
      <c r="G244" s="488">
        <f t="shared" si="67"/>
        <v>1204</v>
      </c>
      <c r="H244" s="905"/>
      <c r="I244" s="905"/>
      <c r="J244" s="491"/>
      <c r="K244" s="501">
        <f>D244*$K$232</f>
        <v>0</v>
      </c>
      <c r="L244" s="501">
        <f t="shared" si="70"/>
        <v>0</v>
      </c>
      <c r="M244" s="493"/>
      <c r="N244" s="507"/>
      <c r="O244" s="449"/>
    </row>
    <row r="245" spans="2:15" ht="14.25" hidden="1" customHeight="1" outlineLevel="1">
      <c r="B245" s="523" t="s">
        <v>1365</v>
      </c>
      <c r="C245" s="15" t="str">
        <f>IFERROR(VLOOKUP(B245,MasterSheet!$B$6:$N$521,3,),"n/a")</f>
        <v>Drink Package(16oz)</v>
      </c>
      <c r="D245" s="510">
        <v>1</v>
      </c>
      <c r="E245" s="505" t="str">
        <f>IFERROR(VLOOKUP(B245,[4]MasterSheet!$B$6:$N$515,10,),"N/a")</f>
        <v>ea</v>
      </c>
      <c r="F245" s="506">
        <f>IFERROR(VLOOKUP(B245,MasterSheet!$B$6:$N$521,11,),"N/a")</f>
        <v>750</v>
      </c>
      <c r="G245" s="488">
        <f t="shared" si="67"/>
        <v>750</v>
      </c>
      <c r="H245" s="905"/>
      <c r="I245" s="905"/>
      <c r="J245" s="491">
        <f>D245*$J$232</f>
        <v>0</v>
      </c>
      <c r="K245" s="501">
        <f>D245*$K$232</f>
        <v>0</v>
      </c>
      <c r="L245" s="501">
        <f t="shared" si="70"/>
        <v>0</v>
      </c>
      <c r="M245" s="493"/>
      <c r="N245" s="507"/>
      <c r="O245" s="449"/>
    </row>
    <row r="246" spans="2:15" ht="14.25" hidden="1" customHeight="1" outlineLevel="1">
      <c r="B246" s="523" t="s">
        <v>1385</v>
      </c>
      <c r="C246" s="15" t="str">
        <f>IFERROR(VLOOKUP(B246,MasterSheet!$B$6:$N$521,3,),"n/a")</f>
        <v>DRINK PACKAGE LID(16OZ)</v>
      </c>
      <c r="D246" s="510">
        <v>1</v>
      </c>
      <c r="E246" s="505" t="str">
        <f>IFERROR(VLOOKUP(B246,[4]MasterSheet!$B$6:$N$515,10,),"N/a")</f>
        <v>ea</v>
      </c>
      <c r="F246" s="506">
        <f>IFERROR(VLOOKUP(B246,MasterSheet!$B$6:$N$521,11,),"N/a")</f>
        <v>200</v>
      </c>
      <c r="G246" s="488">
        <f t="shared" si="67"/>
        <v>200</v>
      </c>
      <c r="H246" s="905"/>
      <c r="I246" s="905"/>
      <c r="J246" s="491"/>
      <c r="K246" s="501">
        <f>D246*$K$232</f>
        <v>0</v>
      </c>
      <c r="L246" s="501">
        <f t="shared" si="70"/>
        <v>0</v>
      </c>
      <c r="M246" s="493"/>
      <c r="N246" s="507"/>
      <c r="O246" s="449"/>
    </row>
    <row r="247" spans="2:15" ht="14.65" hidden="1" customHeight="1" outlineLevel="1" thickBot="1">
      <c r="B247" s="524" t="s">
        <v>1347</v>
      </c>
      <c r="C247" s="512" t="str">
        <f>IFERROR(VLOOKUP(B247,MasterSheet!$B$6:$N$421,3,),"n/a")</f>
        <v>PARCHMENT PAPER / WRAPPING RICE</v>
      </c>
      <c r="D247" s="513">
        <v>1</v>
      </c>
      <c r="E247" s="514" t="str">
        <f>IFERROR(VLOOKUP(B247,[4]MasterSheet!B81:N618,10,),"N/a")</f>
        <v>ea</v>
      </c>
      <c r="F247" s="515">
        <f>IFERROR(VLOOKUP(B247,MasterSheet!$B$6:$N$421,11,),"N/a")</f>
        <v>216.45</v>
      </c>
      <c r="G247" s="516">
        <f t="shared" si="67"/>
        <v>216.45</v>
      </c>
      <c r="H247" s="916"/>
      <c r="I247" s="916"/>
      <c r="J247" s="517">
        <f>D247*$J$232</f>
        <v>0</v>
      </c>
      <c r="K247" s="518">
        <f>D247*$K$232</f>
        <v>0</v>
      </c>
      <c r="L247" s="518">
        <f t="shared" si="70"/>
        <v>0</v>
      </c>
      <c r="M247" s="519"/>
      <c r="N247" s="520"/>
      <c r="O247" s="449"/>
    </row>
    <row r="248" spans="2:15" collapsed="1">
      <c r="B248" s="219" t="s">
        <v>1392</v>
      </c>
      <c r="C248" s="15" t="s">
        <v>1393</v>
      </c>
      <c r="D248" s="527">
        <f>E248*(1+$E$8)</f>
        <v>45100.000000000007</v>
      </c>
      <c r="E248" s="184">
        <v>41000</v>
      </c>
      <c r="F248" s="174">
        <f>H251</f>
        <v>15368.529495448009</v>
      </c>
      <c r="G248" s="489">
        <f>I251</f>
        <v>16374.529495448009</v>
      </c>
      <c r="H248" s="500">
        <f>F248/E248</f>
        <v>0.37484218281580511</v>
      </c>
      <c r="I248" s="500">
        <f>G248/E248</f>
        <v>0.39937876818165874</v>
      </c>
      <c r="J248" s="501">
        <f>VLOOKUP(B248,'SALES MIX'!B14:J104,4)</f>
        <v>2</v>
      </c>
      <c r="K248" s="501">
        <f>VLOOKUP(B248,'SALES MIX'!B14:J104,5)</f>
        <v>2</v>
      </c>
      <c r="L248" s="221">
        <f>((F248*J248)+(G248*K248))/((J248+K248)*E248)</f>
        <v>0.3871104754987319</v>
      </c>
      <c r="M248" s="493"/>
      <c r="N248" s="493"/>
      <c r="O248" s="449"/>
    </row>
    <row r="249" spans="2:15" ht="14.65" hidden="1" customHeight="1" outlineLevel="1" thickTop="1">
      <c r="B249" s="913" t="s">
        <v>608</v>
      </c>
      <c r="C249" s="914" t="s">
        <v>1305</v>
      </c>
      <c r="D249" s="915" t="s">
        <v>1306</v>
      </c>
      <c r="E249" s="915" t="s">
        <v>60</v>
      </c>
      <c r="F249" s="915" t="s">
        <v>615</v>
      </c>
      <c r="G249" s="915" t="s">
        <v>755</v>
      </c>
      <c r="H249" s="907" t="s">
        <v>1312</v>
      </c>
      <c r="I249" s="907"/>
      <c r="J249" s="907" t="s">
        <v>1319</v>
      </c>
      <c r="K249" s="907"/>
      <c r="L249" s="908" t="s">
        <v>1313</v>
      </c>
      <c r="M249" s="907" t="s">
        <v>912</v>
      </c>
      <c r="N249" s="917"/>
      <c r="O249" s="449"/>
    </row>
    <row r="250" spans="2:15" ht="14.65" hidden="1" customHeight="1" outlineLevel="1" thickBot="1">
      <c r="B250" s="894"/>
      <c r="C250" s="896"/>
      <c r="D250" s="898"/>
      <c r="E250" s="898"/>
      <c r="F250" s="898"/>
      <c r="G250" s="898"/>
      <c r="H250" s="502" t="s">
        <v>1309</v>
      </c>
      <c r="I250" s="502" t="s">
        <v>1308</v>
      </c>
      <c r="J250" s="502" t="s">
        <v>1309</v>
      </c>
      <c r="K250" s="502" t="s">
        <v>1308</v>
      </c>
      <c r="L250" s="901"/>
      <c r="M250" s="903"/>
      <c r="N250" s="904"/>
      <c r="O250" s="449"/>
    </row>
    <row r="251" spans="2:15" ht="14.25" hidden="1" customHeight="1" outlineLevel="1">
      <c r="B251" s="504" t="s">
        <v>631</v>
      </c>
      <c r="C251" s="15" t="str">
        <f>IFERROR(VLOOKUP(B251,MasterSheet!$B$6:$N$150,3,),"n/a")</f>
        <v>Injected Whole Chicken (1.25kg)</v>
      </c>
      <c r="D251" s="499">
        <f>1250/9</f>
        <v>138.88888888888889</v>
      </c>
      <c r="E251" s="505" t="str">
        <f>IFERROR(VLOOKUP(B251,[4]MasterSheet!$B$6:$N$144,10,),"N/a")</f>
        <v>g</v>
      </c>
      <c r="F251" s="506">
        <f>IFERROR(VLOOKUP(B251,MasterSheet!$B$6:$N$150,11,),"N/a")</f>
        <v>34.314223999999996</v>
      </c>
      <c r="G251" s="488">
        <f>IFERROR(D251*F251,"_")</f>
        <v>4765.8644444444435</v>
      </c>
      <c r="H251" s="905">
        <f>SUM(G251:G259,G261,G265,G263)</f>
        <v>15368.529495448009</v>
      </c>
      <c r="I251" s="905">
        <f>SUM(G251:G258,G260,G261,G265,G262,G264)</f>
        <v>16374.529495448009</v>
      </c>
      <c r="J251" s="491">
        <f>D251*$J$248</f>
        <v>277.77777777777777</v>
      </c>
      <c r="K251" s="501">
        <f>D251*$K$248</f>
        <v>277.77777777777777</v>
      </c>
      <c r="L251" s="501">
        <f>SUM(J251:K251)</f>
        <v>555.55555555555554</v>
      </c>
      <c r="M251" s="493"/>
      <c r="N251" s="507"/>
      <c r="O251" s="449"/>
    </row>
    <row r="252" spans="2:15" ht="14.25" hidden="1" customHeight="1" outlineLevel="1">
      <c r="B252" s="508" t="s">
        <v>757</v>
      </c>
      <c r="C252" s="15" t="str">
        <f>IFERROR(VLOOKUP(B252,MasterSheet!$B$6:$N$150,3,),"n/a")</f>
        <v xml:space="preserve">Marinade Powder Mix </v>
      </c>
      <c r="D252" s="499">
        <f>D251*0.012</f>
        <v>1.6666666666666667</v>
      </c>
      <c r="E252" s="505" t="str">
        <f>IFERROR(VLOOKUP(B252,[4]MasterSheet!$B$6:$N$144,10,),"N/a")</f>
        <v>g</v>
      </c>
      <c r="F252" s="506">
        <f>IFERROR(VLOOKUP(B252,MasterSheet!$B$6:$N$150,11,),"N/a")</f>
        <v>117.51275510204081</v>
      </c>
      <c r="G252" s="488">
        <f t="shared" ref="G252:G265" si="71">IFERROR(D252*F252,"_")</f>
        <v>195.8545918367347</v>
      </c>
      <c r="H252" s="905"/>
      <c r="I252" s="905"/>
      <c r="J252" s="491">
        <f t="shared" ref="J252:J258" si="72">D252*$J$248</f>
        <v>3.3333333333333335</v>
      </c>
      <c r="K252" s="501">
        <f t="shared" ref="K252:K258" si="73">D252*$K$248</f>
        <v>3.3333333333333335</v>
      </c>
      <c r="L252" s="501">
        <f t="shared" ref="L252:L264" si="74">SUM(J252:K252)</f>
        <v>6.666666666666667</v>
      </c>
      <c r="M252" s="493"/>
      <c r="N252" s="507"/>
      <c r="O252" s="449"/>
    </row>
    <row r="253" spans="2:15" ht="14.25" hidden="1" customHeight="1" outlineLevel="1">
      <c r="B253" s="508" t="s">
        <v>4</v>
      </c>
      <c r="C253" s="15" t="str">
        <f>IFERROR(VLOOKUP(B253,MasterSheet!$B$6:$N$150,3,),"n/a")</f>
        <v>Battering Powder Mix</v>
      </c>
      <c r="D253" s="499">
        <f>D251*0.175</f>
        <v>24.305555555555554</v>
      </c>
      <c r="E253" s="505" t="str">
        <f>IFERROR(VLOOKUP(B253,[4]MasterSheet!$B$6:$N$144,10,),"N/a")</f>
        <v>g</v>
      </c>
      <c r="F253" s="506">
        <f>IFERROR(VLOOKUP(B253,MasterSheet!$B$6:$N$150,11,),"N/a")</f>
        <v>81.617647058823536</v>
      </c>
      <c r="G253" s="488">
        <f t="shared" si="71"/>
        <v>1983.7622549019609</v>
      </c>
      <c r="H253" s="905"/>
      <c r="I253" s="905"/>
      <c r="J253" s="491">
        <f t="shared" si="72"/>
        <v>48.611111111111107</v>
      </c>
      <c r="K253" s="501">
        <f t="shared" si="73"/>
        <v>48.611111111111107</v>
      </c>
      <c r="L253" s="501">
        <f t="shared" si="74"/>
        <v>97.222222222222214</v>
      </c>
      <c r="M253" s="493"/>
      <c r="N253" s="507"/>
      <c r="O253" s="449"/>
    </row>
    <row r="254" spans="2:15" ht="14.25" hidden="1" customHeight="1" outlineLevel="1">
      <c r="B254" s="508" t="s">
        <v>999</v>
      </c>
      <c r="C254" s="15" t="str">
        <f>IFERROR(VLOOKUP(B254,MasterSheet!$B$6:$N$150,3,),"n/a")</f>
        <v>Palm Oil</v>
      </c>
      <c r="D254" s="499">
        <f>D251*0.1</f>
        <v>13.888888888888889</v>
      </c>
      <c r="E254" s="505" t="str">
        <f>IFERROR(VLOOKUP(B254,[4]MasterSheet!$B$6:$N$144,10,),"N/a")</f>
        <v>g</v>
      </c>
      <c r="F254" s="506">
        <f>IFERROR(VLOOKUP(B254,MasterSheet!$B$6:$N$150,11,),"N/a")</f>
        <v>25.580404040404041</v>
      </c>
      <c r="G254" s="488">
        <f t="shared" si="71"/>
        <v>355.28338945005612</v>
      </c>
      <c r="H254" s="905"/>
      <c r="I254" s="905"/>
      <c r="J254" s="491">
        <f t="shared" si="72"/>
        <v>27.777777777777779</v>
      </c>
      <c r="K254" s="501">
        <f t="shared" si="73"/>
        <v>27.777777777777779</v>
      </c>
      <c r="L254" s="501">
        <f t="shared" si="74"/>
        <v>55.555555555555557</v>
      </c>
      <c r="M254" s="493"/>
      <c r="N254" s="507"/>
      <c r="O254" s="449"/>
    </row>
    <row r="255" spans="2:15" ht="14.25" hidden="1" customHeight="1" outlineLevel="1">
      <c r="B255" s="508" t="s">
        <v>785</v>
      </c>
      <c r="C255" s="15" t="str">
        <f>IFERROR(VLOOKUP(B255,MasterSheet!$B$6:$N$150,3,),"n/a")</f>
        <v xml:space="preserve">Black Tea (w/water) </v>
      </c>
      <c r="D255" s="499">
        <v>250</v>
      </c>
      <c r="E255" s="505" t="str">
        <f>IFERROR(VLOOKUP(B255,[4]MasterSheet!$B$6:$N$144,10,),"N/a")</f>
        <v>g</v>
      </c>
      <c r="F255" s="506">
        <f>IFERROR(VLOOKUP(B255,MasterSheet!$B$6:$N$150,11,),"N/a")</f>
        <v>1.6818181818181819</v>
      </c>
      <c r="G255" s="488">
        <f t="shared" si="71"/>
        <v>420.4545454545455</v>
      </c>
      <c r="H255" s="905"/>
      <c r="I255" s="905"/>
      <c r="J255" s="491">
        <f t="shared" si="72"/>
        <v>500</v>
      </c>
      <c r="K255" s="501">
        <f t="shared" si="73"/>
        <v>500</v>
      </c>
      <c r="L255" s="501">
        <f t="shared" si="74"/>
        <v>1000</v>
      </c>
      <c r="M255" s="493"/>
      <c r="N255" s="507"/>
      <c r="O255" s="449"/>
    </row>
    <row r="256" spans="2:15" ht="14.25" hidden="1" customHeight="1" outlineLevel="1">
      <c r="B256" s="508" t="s">
        <v>1029</v>
      </c>
      <c r="C256" s="15" t="str">
        <f>IFERROR(VLOOKUP(B256,MasterSheet!$B$6:$N$150,3,),"n/a")</f>
        <v>GIMBORI (Crispy Seaweed)</v>
      </c>
      <c r="D256" s="499">
        <v>1</v>
      </c>
      <c r="E256" s="505" t="str">
        <f>IFERROR(VLOOKUP(B256,[4]MasterSheet!$B$6:$N$144,10,),"N/a")</f>
        <v>g</v>
      </c>
      <c r="F256" s="506">
        <f>IFERROR(VLOOKUP(B256,MasterSheet!$B$6:$N$150,11,),"N/a")</f>
        <v>390.90909090909093</v>
      </c>
      <c r="G256" s="488">
        <f t="shared" si="71"/>
        <v>390.90909090909093</v>
      </c>
      <c r="H256" s="905"/>
      <c r="I256" s="905"/>
      <c r="J256" s="491">
        <f t="shared" si="72"/>
        <v>2</v>
      </c>
      <c r="K256" s="501">
        <f t="shared" si="73"/>
        <v>2</v>
      </c>
      <c r="L256" s="501">
        <f t="shared" si="74"/>
        <v>4</v>
      </c>
      <c r="M256" s="493"/>
      <c r="N256" s="507"/>
      <c r="O256" s="449"/>
    </row>
    <row r="257" spans="2:15" ht="14.25" hidden="1" customHeight="1" outlineLevel="1">
      <c r="B257" s="509" t="s">
        <v>567</v>
      </c>
      <c r="C257" s="15" t="str">
        <f>VLOOKUP(B257,CK!$B$8:$L$87,4,)</f>
        <v>Battering Powder Mix Solution(White)</v>
      </c>
      <c r="D257" s="510">
        <f>D251*0.2</f>
        <v>27.777777777777779</v>
      </c>
      <c r="E257" s="505" t="str">
        <f>VLOOKUP(B257,[4]CK!$B$8:$L$87,9,)</f>
        <v>g</v>
      </c>
      <c r="F257" s="506">
        <f>VLOOKUP(B257,CK!$B$8:$L$87,10,)</f>
        <v>30.23</v>
      </c>
      <c r="G257" s="488">
        <f t="shared" si="71"/>
        <v>839.72222222222229</v>
      </c>
      <c r="H257" s="905"/>
      <c r="I257" s="905"/>
      <c r="J257" s="491">
        <f t="shared" si="72"/>
        <v>55.555555555555557</v>
      </c>
      <c r="K257" s="501">
        <f t="shared" si="73"/>
        <v>55.555555555555557</v>
      </c>
      <c r="L257" s="501">
        <f t="shared" si="74"/>
        <v>111.11111111111111</v>
      </c>
      <c r="M257" s="493"/>
      <c r="N257" s="507"/>
      <c r="O257" s="449"/>
    </row>
    <row r="258" spans="2:15" ht="14.25" hidden="1" customHeight="1" outlineLevel="1">
      <c r="B258" s="509" t="s">
        <v>1397</v>
      </c>
      <c r="C258" s="15" t="str">
        <f>VLOOKUP(B258,CK!$B$8:$L$87,4,)</f>
        <v>French Fries</v>
      </c>
      <c r="D258" s="510">
        <v>100</v>
      </c>
      <c r="E258" s="505" t="str">
        <f>VLOOKUP(B258,[4]CK!$B$8:$L$87,9,)</f>
        <v>g</v>
      </c>
      <c r="F258" s="506">
        <f>VLOOKUP(B258,CK!$B$8:$L$87,10,)</f>
        <v>43.15228956228956</v>
      </c>
      <c r="G258" s="488">
        <f t="shared" si="71"/>
        <v>4315.2289562289561</v>
      </c>
      <c r="H258" s="905"/>
      <c r="I258" s="905"/>
      <c r="J258" s="491">
        <f t="shared" si="72"/>
        <v>200</v>
      </c>
      <c r="K258" s="501">
        <f t="shared" si="73"/>
        <v>200</v>
      </c>
      <c r="L258" s="501">
        <f t="shared" si="74"/>
        <v>400</v>
      </c>
      <c r="M258" s="493"/>
      <c r="N258" s="507"/>
      <c r="O258" s="449"/>
    </row>
    <row r="259" spans="2:15" ht="14.25" hidden="1" customHeight="1" outlineLevel="1">
      <c r="B259" s="523" t="s">
        <v>1341</v>
      </c>
      <c r="C259" s="15" t="str">
        <f>IFERROR(VLOOKUP(B259,MasterSheet!$B$6:$N$521,3,),"n/a")</f>
        <v>BB.Q Papertray</v>
      </c>
      <c r="D259" s="510">
        <v>1</v>
      </c>
      <c r="E259" s="505" t="str">
        <f>IFERROR(VLOOKUP(B259,[4]MasterSheet!$B$6:$N$515,10,),"N/a")</f>
        <v>ea</v>
      </c>
      <c r="F259" s="506">
        <f>IFERROR(VLOOKUP(B259,MasterSheet!$B$6:$N$521,11,),"N/a")</f>
        <v>600</v>
      </c>
      <c r="G259" s="488">
        <f t="shared" si="71"/>
        <v>600</v>
      </c>
      <c r="H259" s="905"/>
      <c r="I259" s="905"/>
      <c r="J259" s="491">
        <f>D259*$J$248</f>
        <v>2</v>
      </c>
      <c r="K259" s="501"/>
      <c r="L259" s="501">
        <f t="shared" si="74"/>
        <v>2</v>
      </c>
      <c r="M259" s="493"/>
      <c r="N259" s="507"/>
      <c r="O259" s="449"/>
    </row>
    <row r="260" spans="2:15" ht="14.25" hidden="1" customHeight="1" outlineLevel="1">
      <c r="B260" s="523" t="s">
        <v>1335</v>
      </c>
      <c r="C260" s="15" t="str">
        <f>IFERROR(VLOOKUP(B260,MasterSheet!$B$6:$N$521,3,),"n/a")</f>
        <v xml:space="preserve">BB.Q FOODPAIL M </v>
      </c>
      <c r="D260" s="510">
        <v>1</v>
      </c>
      <c r="E260" s="505" t="str">
        <f>IFERROR(VLOOKUP(B260,[4]MasterSheet!$B$6:$N$515,10,),"N/a")</f>
        <v>ea</v>
      </c>
      <c r="F260" s="506">
        <f>IFERROR(VLOOKUP(B260,MasterSheet!$B$6:$N$521,11,),"N/a")</f>
        <v>1204</v>
      </c>
      <c r="G260" s="488">
        <f t="shared" si="71"/>
        <v>1204</v>
      </c>
      <c r="H260" s="905"/>
      <c r="I260" s="905"/>
      <c r="J260" s="491"/>
      <c r="K260" s="501">
        <f t="shared" ref="K260:K265" si="75">D260*$K$248</f>
        <v>2</v>
      </c>
      <c r="L260" s="501">
        <f t="shared" si="74"/>
        <v>2</v>
      </c>
      <c r="M260" s="493"/>
      <c r="N260" s="507"/>
      <c r="O260" s="449"/>
    </row>
    <row r="261" spans="2:15" ht="14.25" hidden="1" customHeight="1" outlineLevel="1">
      <c r="B261" s="523" t="s">
        <v>1365</v>
      </c>
      <c r="C261" s="15" t="str">
        <f>IFERROR(VLOOKUP(B261,MasterSheet!$B$6:$N$521,3,),"n/a")</f>
        <v>Drink Package(16oz)</v>
      </c>
      <c r="D261" s="510">
        <v>1</v>
      </c>
      <c r="E261" s="505" t="str">
        <f>IFERROR(VLOOKUP(B261,[4]MasterSheet!$B$6:$N$515,10,),"N/a")</f>
        <v>ea</v>
      </c>
      <c r="F261" s="506">
        <f>IFERROR(VLOOKUP(B261,MasterSheet!$B$6:$N$521,11,),"N/a")</f>
        <v>750</v>
      </c>
      <c r="G261" s="488">
        <f t="shared" si="71"/>
        <v>750</v>
      </c>
      <c r="H261" s="905"/>
      <c r="I261" s="905"/>
      <c r="J261" s="491">
        <f>D261*$J$248</f>
        <v>2</v>
      </c>
      <c r="K261" s="501">
        <f t="shared" si="75"/>
        <v>2</v>
      </c>
      <c r="L261" s="501">
        <f t="shared" si="74"/>
        <v>4</v>
      </c>
      <c r="M261" s="493"/>
      <c r="N261" s="507"/>
      <c r="O261" s="449"/>
    </row>
    <row r="262" spans="2:15" ht="14.25" hidden="1" customHeight="1" outlineLevel="1">
      <c r="B262" s="523" t="s">
        <v>1384</v>
      </c>
      <c r="C262" s="15" t="str">
        <f>IFERROR(VLOOKUP(B262,MasterSheet!$B$6:$N$521,3,),"n/a")</f>
        <v>DRINK PACKAGE LID(16OZ)</v>
      </c>
      <c r="D262" s="510">
        <v>1</v>
      </c>
      <c r="E262" s="505" t="str">
        <f>IFERROR(VLOOKUP(B262,[4]MasterSheet!$B$6:$N$515,10,),"N/a")</f>
        <v>ea</v>
      </c>
      <c r="F262" s="506">
        <f>IFERROR(VLOOKUP(B262,MasterSheet!$B$6:$N$521,11,),"N/a")</f>
        <v>200</v>
      </c>
      <c r="G262" s="488">
        <f t="shared" si="71"/>
        <v>200</v>
      </c>
      <c r="H262" s="905"/>
      <c r="I262" s="905"/>
      <c r="J262" s="491"/>
      <c r="K262" s="501">
        <f t="shared" si="75"/>
        <v>2</v>
      </c>
      <c r="L262" s="501">
        <f t="shared" si="74"/>
        <v>2</v>
      </c>
      <c r="M262" s="493"/>
      <c r="N262" s="507"/>
      <c r="O262" s="449"/>
    </row>
    <row r="263" spans="2:15" ht="14.25" hidden="1" customHeight="1" outlineLevel="1">
      <c r="B263" s="523" t="s">
        <v>1401</v>
      </c>
      <c r="C263" s="15" t="str">
        <f>IFERROR(VLOOKUP(B263,MasterSheet!$B$6:$N$521,3,),"n/a")</f>
        <v xml:space="preserve">BB.Q POTATO FRIES BOX (Dine-in) </v>
      </c>
      <c r="D263" s="510">
        <v>1</v>
      </c>
      <c r="E263" s="505" t="str">
        <f>IFERROR(VLOOKUP(B263,[4]MasterSheet!$B$6:$N$515,10,),"N/a")</f>
        <v>ea</v>
      </c>
      <c r="F263" s="506">
        <f>IFERROR(VLOOKUP(B263,MasterSheet!$B$6:$N$521,11,),"N/a")</f>
        <v>535</v>
      </c>
      <c r="G263" s="488">
        <f>IFERROR(D263*F263,"_")</f>
        <v>535</v>
      </c>
      <c r="H263" s="905"/>
      <c r="I263" s="905"/>
      <c r="J263" s="491">
        <f>D263*$J$248</f>
        <v>2</v>
      </c>
      <c r="K263" s="501">
        <f t="shared" si="75"/>
        <v>2</v>
      </c>
      <c r="L263" s="501">
        <f t="shared" si="74"/>
        <v>4</v>
      </c>
      <c r="M263" s="493"/>
      <c r="N263" s="507"/>
      <c r="O263" s="449"/>
    </row>
    <row r="264" spans="2:15" ht="14.25" hidden="1" customHeight="1" outlineLevel="1">
      <c r="B264" s="523" t="s">
        <v>1396</v>
      </c>
      <c r="C264" s="15" t="str">
        <f>IFERROR(VLOOKUP(B264,MasterSheet!$B$6:$N$521,3,),"n/a")</f>
        <v>BB.Q PAPER BAG FRIES (TakeAway)</v>
      </c>
      <c r="D264" s="510">
        <v>1</v>
      </c>
      <c r="E264" s="505" t="str">
        <f>IFERROR(VLOOKUP(B264,[4]MasterSheet!$B$6:$N$515,10,),"N/a")</f>
        <v>ea</v>
      </c>
      <c r="F264" s="506">
        <f>IFERROR(VLOOKUP(B264,MasterSheet!$B$6:$N$521,11,),"N/a")</f>
        <v>737</v>
      </c>
      <c r="G264" s="488">
        <f>IFERROR(D264*F264,"_")</f>
        <v>737</v>
      </c>
      <c r="H264" s="905"/>
      <c r="I264" s="905"/>
      <c r="J264" s="491"/>
      <c r="K264" s="501">
        <f t="shared" si="75"/>
        <v>2</v>
      </c>
      <c r="L264" s="501">
        <f t="shared" si="74"/>
        <v>2</v>
      </c>
      <c r="M264" s="493"/>
      <c r="N264" s="507"/>
      <c r="O264" s="449"/>
    </row>
    <row r="265" spans="2:15" ht="14.65" hidden="1" customHeight="1" outlineLevel="1" thickBot="1">
      <c r="B265" s="524" t="s">
        <v>1150</v>
      </c>
      <c r="C265" s="512" t="str">
        <f>IFERROR(VLOOKUP(B265,MasterSheet!$B$6:$N$421,3,),"n/a")</f>
        <v>PARCHMENT PAPER / WRAPPING RICE</v>
      </c>
      <c r="D265" s="513">
        <v>1</v>
      </c>
      <c r="E265" s="514" t="str">
        <f>IFERROR(VLOOKUP(B265,[4]MasterSheet!B87:N636,10,),"N/a")</f>
        <v>ea</v>
      </c>
      <c r="F265" s="515">
        <f>IFERROR(VLOOKUP(B265,MasterSheet!$B$6:$N$421,11,),"N/a")</f>
        <v>216.45</v>
      </c>
      <c r="G265" s="516">
        <f t="shared" si="71"/>
        <v>216.45</v>
      </c>
      <c r="H265" s="916"/>
      <c r="I265" s="916"/>
      <c r="J265" s="517">
        <f>D265*$J$248</f>
        <v>2</v>
      </c>
      <c r="K265" s="518">
        <f t="shared" si="75"/>
        <v>2</v>
      </c>
      <c r="L265" s="518">
        <f>SUM(J265:K265)</f>
        <v>4</v>
      </c>
      <c r="M265" s="519"/>
      <c r="N265" s="520"/>
      <c r="O265" s="449"/>
    </row>
    <row r="266" spans="2:15" collapsed="1">
      <c r="B266" s="219" t="s">
        <v>1398</v>
      </c>
      <c r="C266" s="15" t="s">
        <v>1400</v>
      </c>
      <c r="D266" s="184">
        <f>E266*(1+$E$8)</f>
        <v>48400.000000000007</v>
      </c>
      <c r="E266" s="184">
        <v>44000</v>
      </c>
      <c r="F266" s="174">
        <f>H269</f>
        <v>18198.933141281344</v>
      </c>
      <c r="G266" s="489">
        <f>I269</f>
        <v>19204.933141281344</v>
      </c>
      <c r="H266" s="500">
        <f>F266/E266</f>
        <v>0.41361211684730326</v>
      </c>
      <c r="I266" s="500">
        <f>G266/E266</f>
        <v>0.43647575321093962</v>
      </c>
      <c r="J266" s="501">
        <f>VLOOKUP(B266,'SALES MIX'!B14:J104,4)</f>
        <v>0</v>
      </c>
      <c r="K266" s="501">
        <f>VLOOKUP(B266,'SALES MIX'!B14:J104,5)</f>
        <v>0</v>
      </c>
      <c r="L266" s="221" t="e">
        <f>((F266*J266)+(G266*K266))/((J266+K266)*E266)</f>
        <v>#DIV/0!</v>
      </c>
      <c r="M266" s="493"/>
      <c r="N266" s="493"/>
      <c r="O266" s="449"/>
    </row>
    <row r="267" spans="2:15" ht="18" hidden="1" customHeight="1" outlineLevel="1">
      <c r="B267" s="913" t="s">
        <v>608</v>
      </c>
      <c r="C267" s="914" t="s">
        <v>1305</v>
      </c>
      <c r="D267" s="915" t="s">
        <v>1306</v>
      </c>
      <c r="E267" s="915" t="s">
        <v>60</v>
      </c>
      <c r="F267" s="915" t="s">
        <v>615</v>
      </c>
      <c r="G267" s="915" t="s">
        <v>755</v>
      </c>
      <c r="H267" s="907" t="s">
        <v>1312</v>
      </c>
      <c r="I267" s="907"/>
      <c r="J267" s="907" t="s">
        <v>1319</v>
      </c>
      <c r="K267" s="907"/>
      <c r="L267" s="908" t="s">
        <v>1313</v>
      </c>
      <c r="M267" s="907" t="s">
        <v>912</v>
      </c>
      <c r="N267" s="917"/>
      <c r="O267" s="449"/>
    </row>
    <row r="268" spans="2:15" ht="14.65" hidden="1" customHeight="1" outlineLevel="1" thickBot="1">
      <c r="B268" s="894"/>
      <c r="C268" s="896"/>
      <c r="D268" s="898"/>
      <c r="E268" s="898"/>
      <c r="F268" s="898"/>
      <c r="G268" s="898"/>
      <c r="H268" s="502" t="s">
        <v>1309</v>
      </c>
      <c r="I268" s="502" t="s">
        <v>1308</v>
      </c>
      <c r="J268" s="502" t="s">
        <v>1309</v>
      </c>
      <c r="K268" s="502" t="s">
        <v>1308</v>
      </c>
      <c r="L268" s="901"/>
      <c r="M268" s="903"/>
      <c r="N268" s="904"/>
      <c r="O268" s="449"/>
    </row>
    <row r="269" spans="2:15" ht="14.25" hidden="1" customHeight="1" outlineLevel="1">
      <c r="B269" s="504" t="s">
        <v>631</v>
      </c>
      <c r="C269" s="15" t="str">
        <f>IFERROR(VLOOKUP(B269,MasterSheet!$B$6:$N$150,3,),"n/a")</f>
        <v>Injected Whole Chicken (1.25kg)</v>
      </c>
      <c r="D269" s="499">
        <f>1250/9</f>
        <v>138.88888888888889</v>
      </c>
      <c r="E269" s="505" t="str">
        <f>IFERROR(VLOOKUP(B269,[4]MasterSheet!$B$6:$N$144,10,),"N/a")</f>
        <v>g</v>
      </c>
      <c r="F269" s="506">
        <f>IFERROR(VLOOKUP(B269,MasterSheet!$B$6:$N$150,11,),"N/a")</f>
        <v>34.314223999999996</v>
      </c>
      <c r="G269" s="488">
        <f>IFERROR(D269*F269,"_")</f>
        <v>4765.8644444444435</v>
      </c>
      <c r="H269" s="905">
        <f>SUM(G269:G278,G280,G284,G282)</f>
        <v>18198.933141281344</v>
      </c>
      <c r="I269" s="905">
        <f>SUM(G269:G277,G279,G280,G284,G281,G283)</f>
        <v>19204.933141281344</v>
      </c>
      <c r="J269" s="491">
        <f>D269*$J$266</f>
        <v>0</v>
      </c>
      <c r="K269" s="501">
        <f>D269*$K$266</f>
        <v>0</v>
      </c>
      <c r="L269" s="501">
        <f>SUM(J269:K269)</f>
        <v>0</v>
      </c>
      <c r="M269" s="493"/>
      <c r="N269" s="507"/>
      <c r="O269" s="449"/>
    </row>
    <row r="270" spans="2:15" ht="14.25" hidden="1" customHeight="1" outlineLevel="1">
      <c r="B270" s="508" t="s">
        <v>757</v>
      </c>
      <c r="C270" s="15" t="str">
        <f>IFERROR(VLOOKUP(B270,MasterSheet!$B$6:$N$150,3,),"n/a")</f>
        <v xml:space="preserve">Marinade Powder Mix </v>
      </c>
      <c r="D270" s="499">
        <f>D269*0.012</f>
        <v>1.6666666666666667</v>
      </c>
      <c r="E270" s="505" t="str">
        <f>IFERROR(VLOOKUP(B270,[4]MasterSheet!$B$6:$N$144,10,),"N/a")</f>
        <v>g</v>
      </c>
      <c r="F270" s="506">
        <f>IFERROR(VLOOKUP(B270,MasterSheet!$B$6:$N$150,11,),"N/a")</f>
        <v>117.51275510204081</v>
      </c>
      <c r="G270" s="488">
        <f t="shared" ref="G270:G284" si="76">IFERROR(D270*F270,"_")</f>
        <v>195.8545918367347</v>
      </c>
      <c r="H270" s="905"/>
      <c r="I270" s="905"/>
      <c r="J270" s="491">
        <f t="shared" ref="J270:J277" si="77">D270*$J$266</f>
        <v>0</v>
      </c>
      <c r="K270" s="501">
        <f t="shared" ref="K270:K277" si="78">D270*$K$266</f>
        <v>0</v>
      </c>
      <c r="L270" s="501">
        <f t="shared" ref="L270:L283" si="79">SUM(J270:K270)</f>
        <v>0</v>
      </c>
      <c r="M270" s="493"/>
      <c r="N270" s="507"/>
      <c r="O270" s="449"/>
    </row>
    <row r="271" spans="2:15" ht="14.25" hidden="1" customHeight="1" outlineLevel="1">
      <c r="B271" s="508" t="s">
        <v>4</v>
      </c>
      <c r="C271" s="15" t="str">
        <f>IFERROR(VLOOKUP(B271,MasterSheet!$B$6:$N$150,3,),"n/a")</f>
        <v>Battering Powder Mix</v>
      </c>
      <c r="D271" s="499">
        <f>D269*0.175</f>
        <v>24.305555555555554</v>
      </c>
      <c r="E271" s="505" t="str">
        <f>IFERROR(VLOOKUP(B271,[4]MasterSheet!$B$6:$N$144,10,),"N/a")</f>
        <v>g</v>
      </c>
      <c r="F271" s="506">
        <f>IFERROR(VLOOKUP(B271,MasterSheet!$B$6:$N$150,11,),"N/a")</f>
        <v>81.617647058823536</v>
      </c>
      <c r="G271" s="488">
        <f t="shared" si="76"/>
        <v>1983.7622549019609</v>
      </c>
      <c r="H271" s="905"/>
      <c r="I271" s="905"/>
      <c r="J271" s="491">
        <f t="shared" si="77"/>
        <v>0</v>
      </c>
      <c r="K271" s="501">
        <f t="shared" si="78"/>
        <v>0</v>
      </c>
      <c r="L271" s="501">
        <f t="shared" si="79"/>
        <v>0</v>
      </c>
      <c r="M271" s="493"/>
      <c r="N271" s="507"/>
      <c r="O271" s="449"/>
    </row>
    <row r="272" spans="2:15" ht="14.25" hidden="1" customHeight="1" outlineLevel="1">
      <c r="B272" s="508" t="s">
        <v>999</v>
      </c>
      <c r="C272" s="15" t="str">
        <f>IFERROR(VLOOKUP(B272,MasterSheet!$B$6:$N$150,3,),"n/a")</f>
        <v>Palm Oil</v>
      </c>
      <c r="D272" s="499">
        <f>D269*0.1</f>
        <v>13.888888888888889</v>
      </c>
      <c r="E272" s="505" t="str">
        <f>IFERROR(VLOOKUP(B272,[4]MasterSheet!$B$6:$N$144,10,),"N/a")</f>
        <v>g</v>
      </c>
      <c r="F272" s="506">
        <f>IFERROR(VLOOKUP(B272,MasterSheet!$B$6:$N$150,11,),"N/a")</f>
        <v>25.580404040404041</v>
      </c>
      <c r="G272" s="488">
        <f t="shared" si="76"/>
        <v>355.28338945005612</v>
      </c>
      <c r="H272" s="905"/>
      <c r="I272" s="905"/>
      <c r="J272" s="491">
        <f t="shared" si="77"/>
        <v>0</v>
      </c>
      <c r="K272" s="501">
        <f t="shared" si="78"/>
        <v>0</v>
      </c>
      <c r="L272" s="501">
        <f t="shared" si="79"/>
        <v>0</v>
      </c>
      <c r="M272" s="493"/>
      <c r="N272" s="507"/>
      <c r="O272" s="449"/>
    </row>
    <row r="273" spans="2:15" ht="14.25" hidden="1" customHeight="1" outlineLevel="1">
      <c r="B273" s="508" t="s">
        <v>725</v>
      </c>
      <c r="C273" s="15" t="str">
        <f>IFERROR(VLOOKUP(B273,MasterSheet!$B$6:$N$150,3,),"n/a")</f>
        <v>Hot Spicy Sauce</v>
      </c>
      <c r="D273" s="499">
        <f>D269*15%</f>
        <v>20.833333333333332</v>
      </c>
      <c r="E273" s="505" t="str">
        <f>IFERROR(VLOOKUP(B273,[4]MasterSheet!$B$6:$N$144,10,),"N/a")</f>
        <v>g</v>
      </c>
      <c r="F273" s="506">
        <f>IFERROR(VLOOKUP(B273,MasterSheet!$B$6:$N$150,11,),"N/a")</f>
        <v>135.85937500000003</v>
      </c>
      <c r="G273" s="488">
        <f t="shared" si="76"/>
        <v>2830.4036458333339</v>
      </c>
      <c r="H273" s="905"/>
      <c r="I273" s="905"/>
      <c r="J273" s="491">
        <f t="shared" si="77"/>
        <v>0</v>
      </c>
      <c r="K273" s="501">
        <f t="shared" si="78"/>
        <v>0</v>
      </c>
      <c r="L273" s="501">
        <f t="shared" si="79"/>
        <v>0</v>
      </c>
      <c r="M273" s="493"/>
      <c r="N273" s="507"/>
      <c r="O273" s="449"/>
    </row>
    <row r="274" spans="2:15" ht="14.25" hidden="1" customHeight="1" outlineLevel="1">
      <c r="B274" s="508" t="s">
        <v>785</v>
      </c>
      <c r="C274" s="15" t="str">
        <f>IFERROR(VLOOKUP(B274,MasterSheet!$B$6:$N$150,3,),"n/a")</f>
        <v xml:space="preserve">Black Tea (w/water) </v>
      </c>
      <c r="D274" s="499">
        <v>250</v>
      </c>
      <c r="E274" s="505" t="str">
        <f>IFERROR(VLOOKUP(B274,[4]MasterSheet!$B$6:$N$144,10,),"N/a")</f>
        <v>g</v>
      </c>
      <c r="F274" s="506">
        <f>IFERROR(VLOOKUP(B274,MasterSheet!$B$6:$N$150,11,),"N/a")</f>
        <v>1.6818181818181819</v>
      </c>
      <c r="G274" s="488">
        <f t="shared" si="76"/>
        <v>420.4545454545455</v>
      </c>
      <c r="H274" s="905"/>
      <c r="I274" s="905"/>
      <c r="J274" s="491">
        <f t="shared" si="77"/>
        <v>0</v>
      </c>
      <c r="K274" s="501">
        <f t="shared" si="78"/>
        <v>0</v>
      </c>
      <c r="L274" s="501">
        <f t="shared" si="79"/>
        <v>0</v>
      </c>
      <c r="M274" s="493"/>
      <c r="N274" s="507"/>
      <c r="O274" s="449"/>
    </row>
    <row r="275" spans="2:15" ht="14.25" hidden="1" customHeight="1" outlineLevel="1">
      <c r="B275" s="508" t="s">
        <v>1029</v>
      </c>
      <c r="C275" s="15" t="str">
        <f>IFERROR(VLOOKUP(B275,MasterSheet!$B$6:$N$150,3,),"n/a")</f>
        <v>GIMBORI (Crispy Seaweed)</v>
      </c>
      <c r="D275" s="499">
        <v>1</v>
      </c>
      <c r="E275" s="505" t="str">
        <f>IFERROR(VLOOKUP(B275,[4]MasterSheet!$B$6:$N$144,10,),"N/a")</f>
        <v>g</v>
      </c>
      <c r="F275" s="506">
        <f>IFERROR(VLOOKUP(B275,MasterSheet!$B$6:$N$150,11,),"N/a")</f>
        <v>390.90909090909093</v>
      </c>
      <c r="G275" s="488">
        <f t="shared" si="76"/>
        <v>390.90909090909093</v>
      </c>
      <c r="H275" s="905"/>
      <c r="I275" s="905"/>
      <c r="J275" s="491">
        <f t="shared" si="77"/>
        <v>0</v>
      </c>
      <c r="K275" s="501">
        <f t="shared" si="78"/>
        <v>0</v>
      </c>
      <c r="L275" s="501">
        <f t="shared" si="79"/>
        <v>0</v>
      </c>
      <c r="M275" s="493"/>
      <c r="N275" s="507"/>
      <c r="O275" s="449"/>
    </row>
    <row r="276" spans="2:15" ht="14.25" hidden="1" customHeight="1" outlineLevel="1">
      <c r="B276" s="509" t="s">
        <v>567</v>
      </c>
      <c r="C276" s="15" t="str">
        <f>VLOOKUP(B276,CK!$B$8:$L$87,4,)</f>
        <v>Battering Powder Mix Solution(White)</v>
      </c>
      <c r="D276" s="510">
        <f>D269*0.2</f>
        <v>27.777777777777779</v>
      </c>
      <c r="E276" s="505" t="str">
        <f>VLOOKUP(B276,[4]CK!$B$8:$L$87,9,)</f>
        <v>g</v>
      </c>
      <c r="F276" s="506">
        <f>VLOOKUP(B276,CK!$B$8:$L$87,10,)</f>
        <v>30.23</v>
      </c>
      <c r="G276" s="488">
        <f t="shared" si="76"/>
        <v>839.72222222222229</v>
      </c>
      <c r="H276" s="905"/>
      <c r="I276" s="905"/>
      <c r="J276" s="491">
        <f t="shared" si="77"/>
        <v>0</v>
      </c>
      <c r="K276" s="501">
        <f t="shared" si="78"/>
        <v>0</v>
      </c>
      <c r="L276" s="501">
        <f t="shared" si="79"/>
        <v>0</v>
      </c>
      <c r="M276" s="493"/>
      <c r="N276" s="507"/>
      <c r="O276" s="449"/>
    </row>
    <row r="277" spans="2:15" ht="14.25" hidden="1" customHeight="1" outlineLevel="1">
      <c r="B277" s="509" t="s">
        <v>1397</v>
      </c>
      <c r="C277" s="15" t="str">
        <f>VLOOKUP(B277,CK!$B$8:$L$87,4,)</f>
        <v>French Fries</v>
      </c>
      <c r="D277" s="510">
        <v>100</v>
      </c>
      <c r="E277" s="505" t="str">
        <f>VLOOKUP(B277,[4]CK!$B$8:$L$87,9,)</f>
        <v>g</v>
      </c>
      <c r="F277" s="506">
        <f>VLOOKUP(B277,CK!$B$8:$L$87,10,)</f>
        <v>43.15228956228956</v>
      </c>
      <c r="G277" s="488">
        <f t="shared" si="76"/>
        <v>4315.2289562289561</v>
      </c>
      <c r="H277" s="905"/>
      <c r="I277" s="905"/>
      <c r="J277" s="491">
        <f t="shared" si="77"/>
        <v>0</v>
      </c>
      <c r="K277" s="501">
        <f t="shared" si="78"/>
        <v>0</v>
      </c>
      <c r="L277" s="501">
        <f t="shared" si="79"/>
        <v>0</v>
      </c>
      <c r="M277" s="493"/>
      <c r="N277" s="507"/>
      <c r="O277" s="449"/>
    </row>
    <row r="278" spans="2:15" ht="14.25" hidden="1" customHeight="1" outlineLevel="1">
      <c r="B278" s="523" t="s">
        <v>1341</v>
      </c>
      <c r="C278" s="15" t="str">
        <f>IFERROR(VLOOKUP(B278,MasterSheet!$B$6:$N$521,3,),"n/a")</f>
        <v>BB.Q Papertray</v>
      </c>
      <c r="D278" s="510">
        <v>1</v>
      </c>
      <c r="E278" s="505" t="str">
        <f>IFERROR(VLOOKUP(B278,[4]MasterSheet!$B$6:$N$515,10,),"N/a")</f>
        <v>ea</v>
      </c>
      <c r="F278" s="506">
        <f>IFERROR(VLOOKUP(B278,MasterSheet!$B$6:$N$521,11,),"N/a")</f>
        <v>600</v>
      </c>
      <c r="G278" s="488">
        <f t="shared" si="76"/>
        <v>600</v>
      </c>
      <c r="H278" s="905"/>
      <c r="I278" s="905"/>
      <c r="J278" s="491">
        <f>D278*$J$266</f>
        <v>0</v>
      </c>
      <c r="K278" s="501"/>
      <c r="L278" s="501">
        <f t="shared" si="79"/>
        <v>0</v>
      </c>
      <c r="M278" s="493"/>
      <c r="N278" s="507"/>
      <c r="O278" s="449"/>
    </row>
    <row r="279" spans="2:15" ht="14.25" hidden="1" customHeight="1" outlineLevel="1">
      <c r="B279" s="523" t="s">
        <v>1335</v>
      </c>
      <c r="C279" s="15" t="str">
        <f>IFERROR(VLOOKUP(B279,MasterSheet!$B$6:$N$521,3,),"n/a")</f>
        <v xml:space="preserve">BB.Q FOODPAIL M </v>
      </c>
      <c r="D279" s="510">
        <v>1</v>
      </c>
      <c r="E279" s="505" t="str">
        <f>IFERROR(VLOOKUP(B279,[4]MasterSheet!$B$6:$N$515,10,),"N/a")</f>
        <v>ea</v>
      </c>
      <c r="F279" s="506">
        <f>IFERROR(VLOOKUP(B279,MasterSheet!$B$6:$N$521,11,),"N/a")</f>
        <v>1204</v>
      </c>
      <c r="G279" s="488">
        <f t="shared" si="76"/>
        <v>1204</v>
      </c>
      <c r="H279" s="905"/>
      <c r="I279" s="905"/>
      <c r="J279" s="491"/>
      <c r="K279" s="501">
        <f>D279*$K$266</f>
        <v>0</v>
      </c>
      <c r="L279" s="501">
        <f t="shared" si="79"/>
        <v>0</v>
      </c>
      <c r="M279" s="493"/>
      <c r="N279" s="507"/>
      <c r="O279" s="449"/>
    </row>
    <row r="280" spans="2:15" ht="14.25" hidden="1" customHeight="1" outlineLevel="1">
      <c r="B280" s="523" t="s">
        <v>1365</v>
      </c>
      <c r="C280" s="15" t="str">
        <f>IFERROR(VLOOKUP(B280,MasterSheet!$B$6:$N$521,3,),"n/a")</f>
        <v>Drink Package(16oz)</v>
      </c>
      <c r="D280" s="510">
        <v>1</v>
      </c>
      <c r="E280" s="505" t="str">
        <f>IFERROR(VLOOKUP(B280,[4]MasterSheet!$B$6:$N$515,10,),"N/a")</f>
        <v>ea</v>
      </c>
      <c r="F280" s="506">
        <f>IFERROR(VLOOKUP(B280,MasterSheet!$B$6:$N$521,11,),"N/a")</f>
        <v>750</v>
      </c>
      <c r="G280" s="488">
        <f t="shared" si="76"/>
        <v>750</v>
      </c>
      <c r="H280" s="905"/>
      <c r="I280" s="905"/>
      <c r="J280" s="491">
        <f>D280*$J$266</f>
        <v>0</v>
      </c>
      <c r="K280" s="501">
        <f>D280*$K$266</f>
        <v>0</v>
      </c>
      <c r="L280" s="501">
        <f t="shared" si="79"/>
        <v>0</v>
      </c>
      <c r="M280" s="493"/>
      <c r="N280" s="507"/>
      <c r="O280" s="449"/>
    </row>
    <row r="281" spans="2:15" ht="14.25" hidden="1" customHeight="1" outlineLevel="1">
      <c r="B281" s="523" t="s">
        <v>1384</v>
      </c>
      <c r="C281" s="15" t="str">
        <f>IFERROR(VLOOKUP(B281,MasterSheet!$B$6:$N$521,3,),"n/a")</f>
        <v>DRINK PACKAGE LID(16OZ)</v>
      </c>
      <c r="D281" s="510">
        <v>1</v>
      </c>
      <c r="E281" s="505" t="str">
        <f>IFERROR(VLOOKUP(B281,[4]MasterSheet!$B$6:$N$515,10,),"N/a")</f>
        <v>ea</v>
      </c>
      <c r="F281" s="506">
        <f>IFERROR(VLOOKUP(B281,MasterSheet!$B$6:$N$521,11,),"N/a")</f>
        <v>200</v>
      </c>
      <c r="G281" s="488">
        <f t="shared" si="76"/>
        <v>200</v>
      </c>
      <c r="H281" s="905"/>
      <c r="I281" s="905"/>
      <c r="J281" s="491"/>
      <c r="K281" s="501">
        <f>D281*$K$266</f>
        <v>0</v>
      </c>
      <c r="L281" s="501">
        <f t="shared" si="79"/>
        <v>0</v>
      </c>
      <c r="M281" s="493"/>
      <c r="N281" s="507"/>
      <c r="O281" s="449"/>
    </row>
    <row r="282" spans="2:15" ht="14.25" hidden="1" customHeight="1" outlineLevel="1">
      <c r="B282" s="523" t="s">
        <v>1401</v>
      </c>
      <c r="C282" s="15" t="str">
        <f>IFERROR(VLOOKUP(B282,MasterSheet!$B$6:$N$521,3,),"n/a")</f>
        <v xml:space="preserve">BB.Q POTATO FRIES BOX (Dine-in) </v>
      </c>
      <c r="D282" s="510">
        <v>1</v>
      </c>
      <c r="E282" s="505" t="str">
        <f>IFERROR(VLOOKUP(B282,[4]MasterSheet!$B$6:$N$515,10,),"N/a")</f>
        <v>ea</v>
      </c>
      <c r="F282" s="506">
        <f>IFERROR(VLOOKUP(B282,MasterSheet!$B$6:$N$521,11,),"N/a")</f>
        <v>535</v>
      </c>
      <c r="G282" s="488">
        <f>IFERROR(D282*F282,"_")</f>
        <v>535</v>
      </c>
      <c r="H282" s="905"/>
      <c r="I282" s="905"/>
      <c r="J282" s="491">
        <f>D282*$J$266</f>
        <v>0</v>
      </c>
      <c r="K282" s="501"/>
      <c r="L282" s="501">
        <f t="shared" si="79"/>
        <v>0</v>
      </c>
      <c r="M282" s="493"/>
      <c r="N282" s="507"/>
      <c r="O282" s="449"/>
    </row>
    <row r="283" spans="2:15" ht="14.25" hidden="1" customHeight="1" outlineLevel="1">
      <c r="B283" s="523" t="s">
        <v>1396</v>
      </c>
      <c r="C283" s="15" t="str">
        <f>IFERROR(VLOOKUP(B283,MasterSheet!$B$6:$N$521,3,),"n/a")</f>
        <v>BB.Q PAPER BAG FRIES (TakeAway)</v>
      </c>
      <c r="D283" s="510">
        <v>1</v>
      </c>
      <c r="E283" s="505" t="str">
        <f>IFERROR(VLOOKUP(B283,[4]MasterSheet!$B$6:$N$515,10,),"N/a")</f>
        <v>ea</v>
      </c>
      <c r="F283" s="506">
        <f>IFERROR(VLOOKUP(B283,MasterSheet!$B$6:$N$521,11,),"N/a")</f>
        <v>737</v>
      </c>
      <c r="G283" s="488">
        <f>IFERROR(D283*F283,"_")</f>
        <v>737</v>
      </c>
      <c r="H283" s="905"/>
      <c r="I283" s="905"/>
      <c r="J283" s="491"/>
      <c r="K283" s="501">
        <f>D283*$K$266</f>
        <v>0</v>
      </c>
      <c r="L283" s="501">
        <f t="shared" si="79"/>
        <v>0</v>
      </c>
      <c r="M283" s="493"/>
      <c r="N283" s="507"/>
      <c r="O283" s="449"/>
    </row>
    <row r="284" spans="2:15" ht="14.65" hidden="1" customHeight="1" outlineLevel="1" thickBot="1">
      <c r="B284" s="524" t="s">
        <v>1150</v>
      </c>
      <c r="C284" s="512" t="str">
        <f>IFERROR(VLOOKUP(B284,MasterSheet!$B$6:$N$421,3,),"n/a")</f>
        <v>PARCHMENT PAPER / WRAPPING RICE</v>
      </c>
      <c r="D284" s="513">
        <v>1</v>
      </c>
      <c r="E284" s="514" t="str">
        <f>IFERROR(VLOOKUP(B284,[4]MasterSheet!B90:N652,10,),"N/a")</f>
        <v>ea</v>
      </c>
      <c r="F284" s="515">
        <f>IFERROR(VLOOKUP(B284,MasterSheet!$B$6:$N$421,11,),"N/a")</f>
        <v>216.45</v>
      </c>
      <c r="G284" s="516">
        <f t="shared" si="76"/>
        <v>216.45</v>
      </c>
      <c r="H284" s="916"/>
      <c r="I284" s="916"/>
      <c r="J284" s="517">
        <f>D284*$J$266</f>
        <v>0</v>
      </c>
      <c r="K284" s="518">
        <f>D284*$K$266</f>
        <v>0</v>
      </c>
      <c r="L284" s="518">
        <f>SUM(J284:K284)</f>
        <v>0</v>
      </c>
      <c r="M284" s="519"/>
      <c r="N284" s="520"/>
      <c r="O284" s="449"/>
    </row>
    <row r="285" spans="2:15" collapsed="1">
      <c r="B285" s="219" t="s">
        <v>1403</v>
      </c>
      <c r="C285" s="15" t="s">
        <v>1402</v>
      </c>
      <c r="D285" s="184">
        <f>E285*(1+$E$8)</f>
        <v>48400.000000000007</v>
      </c>
      <c r="E285" s="184">
        <v>44000</v>
      </c>
      <c r="F285" s="174">
        <f>H288</f>
        <v>14683.260721271672</v>
      </c>
      <c r="G285" s="489">
        <f>I288</f>
        <v>15689.260721271672</v>
      </c>
      <c r="H285" s="500">
        <f>F285/E285</f>
        <v>0.33371047093799255</v>
      </c>
      <c r="I285" s="500">
        <f>G285/E285</f>
        <v>0.35657410730162892</v>
      </c>
      <c r="J285" s="501">
        <f>VLOOKUP(B285,'SALES MIX'!B14:J104,4)</f>
        <v>2</v>
      </c>
      <c r="K285" s="501">
        <f>VLOOKUP(B285,'SALES MIX'!B14:J104,5)</f>
        <v>0</v>
      </c>
      <c r="L285" s="221">
        <f>((F285*J285)+(G285*K285))/((J285+K285)*E285)</f>
        <v>0.33371047093799255</v>
      </c>
      <c r="M285" s="493"/>
      <c r="N285" s="493"/>
      <c r="O285" s="449"/>
    </row>
    <row r="286" spans="2:15" ht="14.65" hidden="1" customHeight="1" outlineLevel="1" thickTop="1">
      <c r="B286" s="913" t="s">
        <v>608</v>
      </c>
      <c r="C286" s="914" t="s">
        <v>1305</v>
      </c>
      <c r="D286" s="915" t="s">
        <v>1306</v>
      </c>
      <c r="E286" s="915" t="s">
        <v>60</v>
      </c>
      <c r="F286" s="915" t="s">
        <v>615</v>
      </c>
      <c r="G286" s="915" t="s">
        <v>755</v>
      </c>
      <c r="H286" s="907" t="s">
        <v>1312</v>
      </c>
      <c r="I286" s="907"/>
      <c r="J286" s="907" t="s">
        <v>1319</v>
      </c>
      <c r="K286" s="907"/>
      <c r="L286" s="908" t="s">
        <v>1313</v>
      </c>
      <c r="M286" s="907" t="s">
        <v>912</v>
      </c>
      <c r="N286" s="917"/>
      <c r="O286" s="449"/>
    </row>
    <row r="287" spans="2:15" ht="14.65" hidden="1" customHeight="1" outlineLevel="1" thickBot="1">
      <c r="B287" s="894"/>
      <c r="C287" s="896"/>
      <c r="D287" s="898"/>
      <c r="E287" s="898"/>
      <c r="F287" s="898"/>
      <c r="G287" s="898"/>
      <c r="H287" s="502" t="s">
        <v>1309</v>
      </c>
      <c r="I287" s="502" t="s">
        <v>1308</v>
      </c>
      <c r="J287" s="502" t="s">
        <v>1309</v>
      </c>
      <c r="K287" s="502" t="s">
        <v>1308</v>
      </c>
      <c r="L287" s="901"/>
      <c r="M287" s="903"/>
      <c r="N287" s="904"/>
      <c r="O287" s="449"/>
    </row>
    <row r="288" spans="2:15" ht="14.25" hidden="1" customHeight="1" outlineLevel="1">
      <c r="B288" s="504" t="s">
        <v>631</v>
      </c>
      <c r="C288" s="15" t="str">
        <f>IFERROR(VLOOKUP(B288,MasterSheet!$B$6:$N$150,3,),"n/a")</f>
        <v>Injected Whole Chicken (1.25kg)</v>
      </c>
      <c r="D288" s="499">
        <f>1250/9</f>
        <v>138.88888888888889</v>
      </c>
      <c r="E288" s="505" t="str">
        <f>IFERROR(VLOOKUP(B288,[4]MasterSheet!$B$6:$N$144,10,),"N/a")</f>
        <v>g</v>
      </c>
      <c r="F288" s="506">
        <f>IFERROR(VLOOKUP(B288,MasterSheet!$B$6:$N$150,11,),"N/a")</f>
        <v>34.314223999999996</v>
      </c>
      <c r="G288" s="488">
        <f>IFERROR(D288*F288,"_")</f>
        <v>4765.8644444444435</v>
      </c>
      <c r="H288" s="905">
        <f>SUM(G288:G296,G298,G302,G300)</f>
        <v>14683.260721271672</v>
      </c>
      <c r="I288" s="905">
        <f>SUM(G288:G295,G297,G298,G302,G299,G301)</f>
        <v>15689.260721271672</v>
      </c>
      <c r="J288" s="491">
        <f>D288*$J$285</f>
        <v>277.77777777777777</v>
      </c>
      <c r="K288" s="501">
        <f>D288*$K$285</f>
        <v>0</v>
      </c>
      <c r="L288" s="501">
        <f>SUM(J288:K288)</f>
        <v>277.77777777777777</v>
      </c>
      <c r="M288" s="493"/>
      <c r="N288" s="507"/>
      <c r="O288" s="449"/>
    </row>
    <row r="289" spans="2:15" ht="14.25" hidden="1" customHeight="1" outlineLevel="1">
      <c r="B289" s="508" t="s">
        <v>690</v>
      </c>
      <c r="C289" s="15" t="str">
        <f>IFERROR(VLOOKUP(B289,MasterSheet!$B$6:$N$150,3,),"n/a")</f>
        <v xml:space="preserve">Cheese Taste Seasoning Mix </v>
      </c>
      <c r="D289" s="499">
        <f>D288*4%</f>
        <v>5.5555555555555554</v>
      </c>
      <c r="E289" s="505" t="str">
        <f>IFERROR(VLOOKUP(B289,[4]MasterSheet!$B$6:$N$144,10,),"N/a")</f>
        <v>g</v>
      </c>
      <c r="F289" s="506">
        <f>IFERROR(VLOOKUP(B289,MasterSheet!$B$6:$N$150,11,),"N/a")</f>
        <v>294.48979591836735</v>
      </c>
      <c r="G289" s="488">
        <f t="shared" ref="G289:G302" si="80">IFERROR(D289*F289,"_")</f>
        <v>1636.0544217687075</v>
      </c>
      <c r="H289" s="905"/>
      <c r="I289" s="905"/>
      <c r="J289" s="491">
        <f t="shared" ref="J289:J295" si="81">D289*$J$285</f>
        <v>11.111111111111111</v>
      </c>
      <c r="K289" s="501">
        <f t="shared" ref="K289:K295" si="82">D289*$K$285</f>
        <v>0</v>
      </c>
      <c r="L289" s="501">
        <f t="shared" ref="L289:L302" si="83">SUM(J289:K289)</f>
        <v>11.111111111111111</v>
      </c>
      <c r="M289" s="493"/>
      <c r="N289" s="507"/>
      <c r="O289" s="449"/>
    </row>
    <row r="290" spans="2:15" ht="14.25" hidden="1" customHeight="1" outlineLevel="1">
      <c r="B290" s="508" t="s">
        <v>999</v>
      </c>
      <c r="C290" s="15" t="str">
        <f>IFERROR(VLOOKUP(B290,MasterSheet!$B$6:$N$150,3,),"n/a")</f>
        <v>Palm Oil</v>
      </c>
      <c r="D290" s="499">
        <f>D288*0.1</f>
        <v>13.888888888888889</v>
      </c>
      <c r="E290" s="505" t="str">
        <f>IFERROR(VLOOKUP(B290,[4]MasterSheet!$B$6:$N$144,10,),"N/a")</f>
        <v>g</v>
      </c>
      <c r="F290" s="506">
        <f>IFERROR(VLOOKUP(B290,MasterSheet!$B$6:$N$150,11,),"N/a")</f>
        <v>25.580404040404041</v>
      </c>
      <c r="G290" s="488">
        <f t="shared" si="80"/>
        <v>355.28338945005612</v>
      </c>
      <c r="H290" s="905"/>
      <c r="I290" s="905"/>
      <c r="J290" s="491">
        <f t="shared" si="81"/>
        <v>27.777777777777779</v>
      </c>
      <c r="K290" s="501">
        <f t="shared" si="82"/>
        <v>0</v>
      </c>
      <c r="L290" s="501">
        <f t="shared" si="83"/>
        <v>27.777777777777779</v>
      </c>
      <c r="M290" s="493"/>
      <c r="N290" s="507"/>
      <c r="O290" s="449"/>
    </row>
    <row r="291" spans="2:15" ht="14.25" hidden="1" customHeight="1" outlineLevel="1">
      <c r="B291" s="508" t="s">
        <v>804</v>
      </c>
      <c r="C291" s="15" t="str">
        <f>IFERROR(VLOOKUP(B291,MasterSheet!$B$6:$N$150,3,),"n/a")</f>
        <v>Lemon</v>
      </c>
      <c r="D291" s="499">
        <v>0.1</v>
      </c>
      <c r="E291" s="505" t="str">
        <f>IFERROR(VLOOKUP(B291,[4]MasterSheet!$B$6:$N$144,10,),"N/a")</f>
        <v>ea</v>
      </c>
      <c r="F291" s="506">
        <f>IFERROR(VLOOKUP(B291,MasterSheet!$B$6:$N$150,11,),"N/a")</f>
        <v>35.714285714285715</v>
      </c>
      <c r="G291" s="488">
        <f t="shared" si="80"/>
        <v>3.5714285714285716</v>
      </c>
      <c r="H291" s="905"/>
      <c r="I291" s="905"/>
      <c r="J291" s="491">
        <f t="shared" si="81"/>
        <v>0.2</v>
      </c>
      <c r="K291" s="501">
        <f t="shared" si="82"/>
        <v>0</v>
      </c>
      <c r="L291" s="501">
        <f t="shared" si="83"/>
        <v>0.2</v>
      </c>
      <c r="M291" s="493"/>
      <c r="N291" s="507"/>
      <c r="O291" s="449"/>
    </row>
    <row r="292" spans="2:15" ht="14.25" hidden="1" customHeight="1" outlineLevel="1">
      <c r="B292" s="508" t="s">
        <v>785</v>
      </c>
      <c r="C292" s="15" t="str">
        <f>IFERROR(VLOOKUP(B292,MasterSheet!$B$6:$N$150,3,),"n/a")</f>
        <v xml:space="preserve">Black Tea (w/water) </v>
      </c>
      <c r="D292" s="499">
        <v>250</v>
      </c>
      <c r="E292" s="505" t="str">
        <f>IFERROR(VLOOKUP(B292,[4]MasterSheet!$B$6:$N$144,10,),"N/a")</f>
        <v>g</v>
      </c>
      <c r="F292" s="506">
        <f>IFERROR(VLOOKUP(B292,MasterSheet!$B$6:$N$150,11,),"N/a")</f>
        <v>1.6818181818181819</v>
      </c>
      <c r="G292" s="488">
        <f t="shared" si="80"/>
        <v>420.4545454545455</v>
      </c>
      <c r="H292" s="905"/>
      <c r="I292" s="905"/>
      <c r="J292" s="491">
        <f t="shared" si="81"/>
        <v>500</v>
      </c>
      <c r="K292" s="501">
        <f t="shared" si="82"/>
        <v>0</v>
      </c>
      <c r="L292" s="501">
        <f t="shared" si="83"/>
        <v>500</v>
      </c>
      <c r="M292" s="493"/>
      <c r="N292" s="507"/>
      <c r="O292" s="449"/>
    </row>
    <row r="293" spans="2:15" ht="14.25" hidden="1" customHeight="1" outlineLevel="1">
      <c r="B293" s="508" t="s">
        <v>1029</v>
      </c>
      <c r="C293" s="15" t="str">
        <f>IFERROR(VLOOKUP(B293,MasterSheet!$B$6:$N$150,3,),"n/a")</f>
        <v>GIMBORI (Crispy Seaweed)</v>
      </c>
      <c r="D293" s="499">
        <v>1</v>
      </c>
      <c r="E293" s="505" t="str">
        <f>IFERROR(VLOOKUP(B293,[4]MasterSheet!$B$6:$N$144,10,),"N/a")</f>
        <v>g</v>
      </c>
      <c r="F293" s="506">
        <f>IFERROR(VLOOKUP(B293,MasterSheet!$B$6:$N$150,11,),"N/a")</f>
        <v>390.90909090909093</v>
      </c>
      <c r="G293" s="488">
        <f t="shared" si="80"/>
        <v>390.90909090909093</v>
      </c>
      <c r="H293" s="905"/>
      <c r="I293" s="905"/>
      <c r="J293" s="491">
        <f t="shared" si="81"/>
        <v>2</v>
      </c>
      <c r="K293" s="501">
        <f t="shared" si="82"/>
        <v>0</v>
      </c>
      <c r="L293" s="501">
        <f t="shared" si="83"/>
        <v>2</v>
      </c>
      <c r="M293" s="493"/>
      <c r="N293" s="507"/>
      <c r="O293" s="449"/>
    </row>
    <row r="294" spans="2:15" ht="14.25" hidden="1" customHeight="1" outlineLevel="1">
      <c r="B294" s="509" t="s">
        <v>568</v>
      </c>
      <c r="C294" s="15" t="str">
        <f>VLOOKUP(B294,CK!$B$8:$L$87,4,)</f>
        <v>Battering Powder Mix C Solution(Yellow)</v>
      </c>
      <c r="D294" s="510">
        <f>D288*0.21</f>
        <v>29.166666666666664</v>
      </c>
      <c r="E294" s="505" t="str">
        <f>VLOOKUP(B294,[4]CK!$B$8:$L$87,9,)</f>
        <v>g</v>
      </c>
      <c r="F294" s="506">
        <f>VLOOKUP(B294,CK!$B$8:$L$87,10,)</f>
        <v>23.80952380952381</v>
      </c>
      <c r="G294" s="488">
        <f t="shared" si="80"/>
        <v>694.44444444444446</v>
      </c>
      <c r="H294" s="905"/>
      <c r="I294" s="905"/>
      <c r="J294" s="491">
        <f t="shared" si="81"/>
        <v>58.333333333333329</v>
      </c>
      <c r="K294" s="501">
        <f t="shared" si="82"/>
        <v>0</v>
      </c>
      <c r="L294" s="501">
        <f t="shared" si="83"/>
        <v>58.333333333333329</v>
      </c>
      <c r="M294" s="493"/>
      <c r="N294" s="507"/>
      <c r="O294" s="449"/>
    </row>
    <row r="295" spans="2:15" ht="14.25" hidden="1" customHeight="1" outlineLevel="1">
      <c r="B295" s="509" t="s">
        <v>1397</v>
      </c>
      <c r="C295" s="15" t="str">
        <f>VLOOKUP(B295,CK!$B$8:$L$87,4,)</f>
        <v>French Fries</v>
      </c>
      <c r="D295" s="510">
        <v>100</v>
      </c>
      <c r="E295" s="505" t="str">
        <f>VLOOKUP(B295,[4]CK!$B$8:$L$87,9,)</f>
        <v>g</v>
      </c>
      <c r="F295" s="506">
        <f>VLOOKUP(B295,CK!$B$8:$L$87,10,)</f>
        <v>43.15228956228956</v>
      </c>
      <c r="G295" s="488">
        <f t="shared" si="80"/>
        <v>4315.2289562289561</v>
      </c>
      <c r="H295" s="905"/>
      <c r="I295" s="905"/>
      <c r="J295" s="491">
        <f t="shared" si="81"/>
        <v>200</v>
      </c>
      <c r="K295" s="501">
        <f t="shared" si="82"/>
        <v>0</v>
      </c>
      <c r="L295" s="501">
        <f t="shared" si="83"/>
        <v>200</v>
      </c>
      <c r="M295" s="493"/>
      <c r="N295" s="507"/>
      <c r="O295" s="449"/>
    </row>
    <row r="296" spans="2:15" ht="14.25" hidden="1" customHeight="1" outlineLevel="1">
      <c r="B296" s="523" t="s">
        <v>1341</v>
      </c>
      <c r="C296" s="15" t="str">
        <f>IFERROR(VLOOKUP(B296,MasterSheet!$B$6:$N$521,3,),"n/a")</f>
        <v>BB.Q Papertray</v>
      </c>
      <c r="D296" s="510">
        <v>1</v>
      </c>
      <c r="E296" s="505" t="str">
        <f>IFERROR(VLOOKUP(B296,[4]MasterSheet!$B$6:$N$515,10,),"N/a")</f>
        <v>ea</v>
      </c>
      <c r="F296" s="506">
        <f>IFERROR(VLOOKUP(B296,MasterSheet!$B$6:$N$521,11,),"N/a")</f>
        <v>600</v>
      </c>
      <c r="G296" s="488">
        <f t="shared" si="80"/>
        <v>600</v>
      </c>
      <c r="H296" s="905"/>
      <c r="I296" s="905"/>
      <c r="J296" s="491">
        <f>D296*$J$285</f>
        <v>2</v>
      </c>
      <c r="K296" s="501"/>
      <c r="L296" s="501">
        <f t="shared" si="83"/>
        <v>2</v>
      </c>
      <c r="M296" s="493"/>
      <c r="N296" s="507"/>
      <c r="O296" s="449"/>
    </row>
    <row r="297" spans="2:15" ht="14.25" hidden="1" customHeight="1" outlineLevel="1">
      <c r="B297" s="523" t="s">
        <v>1335</v>
      </c>
      <c r="C297" s="15" t="str">
        <f>IFERROR(VLOOKUP(B297,MasterSheet!$B$6:$N$521,3,),"n/a")</f>
        <v xml:space="preserve">BB.Q FOODPAIL M </v>
      </c>
      <c r="D297" s="510">
        <v>1</v>
      </c>
      <c r="E297" s="505" t="str">
        <f>IFERROR(VLOOKUP(B297,[4]MasterSheet!$B$6:$N$515,10,),"N/a")</f>
        <v>ea</v>
      </c>
      <c r="F297" s="506">
        <f>IFERROR(VLOOKUP(B297,MasterSheet!$B$6:$N$521,11,),"N/a")</f>
        <v>1204</v>
      </c>
      <c r="G297" s="488">
        <f t="shared" si="80"/>
        <v>1204</v>
      </c>
      <c r="H297" s="905"/>
      <c r="I297" s="905"/>
      <c r="J297" s="491"/>
      <c r="K297" s="501">
        <f>D297*$K$285</f>
        <v>0</v>
      </c>
      <c r="L297" s="501">
        <f t="shared" si="83"/>
        <v>0</v>
      </c>
      <c r="M297" s="493"/>
      <c r="N297" s="507"/>
      <c r="O297" s="449"/>
    </row>
    <row r="298" spans="2:15" ht="14.25" hidden="1" customHeight="1" outlineLevel="1">
      <c r="B298" s="523" t="s">
        <v>1365</v>
      </c>
      <c r="C298" s="15" t="str">
        <f>IFERROR(VLOOKUP(B298,MasterSheet!$B$6:$N$521,3,),"n/a")</f>
        <v>Drink Package(16oz)</v>
      </c>
      <c r="D298" s="510">
        <v>1</v>
      </c>
      <c r="E298" s="505" t="str">
        <f>IFERROR(VLOOKUP(B298,[4]MasterSheet!$B$6:$N$515,10,),"N/a")</f>
        <v>ea</v>
      </c>
      <c r="F298" s="506">
        <f>IFERROR(VLOOKUP(B298,MasterSheet!$B$6:$N$521,11,),"N/a")</f>
        <v>750</v>
      </c>
      <c r="G298" s="488">
        <f t="shared" si="80"/>
        <v>750</v>
      </c>
      <c r="H298" s="905"/>
      <c r="I298" s="905"/>
      <c r="J298" s="491">
        <f>D298*$J$285</f>
        <v>2</v>
      </c>
      <c r="K298" s="501">
        <f>D298*$K$285</f>
        <v>0</v>
      </c>
      <c r="L298" s="501">
        <f t="shared" si="83"/>
        <v>2</v>
      </c>
      <c r="M298" s="493"/>
      <c r="N298" s="507"/>
      <c r="O298" s="449"/>
    </row>
    <row r="299" spans="2:15" ht="14.25" hidden="1" customHeight="1" outlineLevel="1">
      <c r="B299" s="523" t="s">
        <v>1384</v>
      </c>
      <c r="C299" s="15" t="str">
        <f>IFERROR(VLOOKUP(B299,MasterSheet!$B$6:$N$521,3,),"n/a")</f>
        <v>DRINK PACKAGE LID(16OZ)</v>
      </c>
      <c r="D299" s="510">
        <v>1</v>
      </c>
      <c r="E299" s="505" t="str">
        <f>IFERROR(VLOOKUP(B299,[4]MasterSheet!$B$6:$N$515,10,),"N/a")</f>
        <v>ea</v>
      </c>
      <c r="F299" s="506">
        <f>IFERROR(VLOOKUP(B299,MasterSheet!$B$6:$N$521,11,),"N/a")</f>
        <v>200</v>
      </c>
      <c r="G299" s="488">
        <f t="shared" si="80"/>
        <v>200</v>
      </c>
      <c r="H299" s="905"/>
      <c r="I299" s="905"/>
      <c r="J299" s="491"/>
      <c r="K299" s="501">
        <f>D299*$K$285</f>
        <v>0</v>
      </c>
      <c r="L299" s="501">
        <f t="shared" si="83"/>
        <v>0</v>
      </c>
      <c r="M299" s="493"/>
      <c r="N299" s="507"/>
      <c r="O299" s="449"/>
    </row>
    <row r="300" spans="2:15" ht="14.25" hidden="1" customHeight="1" outlineLevel="1">
      <c r="B300" s="523" t="s">
        <v>1401</v>
      </c>
      <c r="C300" s="15" t="str">
        <f>IFERROR(VLOOKUP(B300,MasterSheet!$B$6:$N$521,3,),"n/a")</f>
        <v xml:space="preserve">BB.Q POTATO FRIES BOX (Dine-in) </v>
      </c>
      <c r="D300" s="510">
        <v>1</v>
      </c>
      <c r="E300" s="505" t="str">
        <f>IFERROR(VLOOKUP(B300,[4]MasterSheet!$B$6:$N$515,10,),"N/a")</f>
        <v>ea</v>
      </c>
      <c r="F300" s="506">
        <f>IFERROR(VLOOKUP(B300,MasterSheet!$B$6:$N$521,11,),"N/a")</f>
        <v>535</v>
      </c>
      <c r="G300" s="488">
        <f>IFERROR(D300*F300,"_")</f>
        <v>535</v>
      </c>
      <c r="H300" s="905"/>
      <c r="I300" s="905"/>
      <c r="J300" s="491">
        <f>D300*$J$285</f>
        <v>2</v>
      </c>
      <c r="K300" s="501"/>
      <c r="L300" s="501">
        <f t="shared" si="83"/>
        <v>2</v>
      </c>
      <c r="M300" s="493"/>
      <c r="N300" s="507"/>
      <c r="O300" s="449"/>
    </row>
    <row r="301" spans="2:15" ht="14.25" hidden="1" customHeight="1" outlineLevel="1">
      <c r="B301" s="523" t="s">
        <v>1396</v>
      </c>
      <c r="C301" s="15" t="str">
        <f>IFERROR(VLOOKUP(B301,MasterSheet!$B$6:$N$521,3,),"n/a")</f>
        <v>BB.Q PAPER BAG FRIES (TakeAway)</v>
      </c>
      <c r="D301" s="510">
        <v>1</v>
      </c>
      <c r="E301" s="505" t="str">
        <f>IFERROR(VLOOKUP(B301,[4]MasterSheet!$B$6:$N$515,10,),"N/a")</f>
        <v>ea</v>
      </c>
      <c r="F301" s="506">
        <f>IFERROR(VLOOKUP(B301,MasterSheet!$B$6:$N$521,11,),"N/a")</f>
        <v>737</v>
      </c>
      <c r="G301" s="488">
        <f>IFERROR(D301*F301,"_")</f>
        <v>737</v>
      </c>
      <c r="H301" s="905"/>
      <c r="I301" s="905"/>
      <c r="J301" s="491"/>
      <c r="K301" s="501">
        <f>D301*$K$285</f>
        <v>0</v>
      </c>
      <c r="L301" s="501"/>
      <c r="M301" s="493"/>
      <c r="N301" s="507"/>
      <c r="O301" s="449"/>
    </row>
    <row r="302" spans="2:15" ht="14.65" hidden="1" customHeight="1" outlineLevel="1" thickBot="1">
      <c r="B302" s="524" t="s">
        <v>1150</v>
      </c>
      <c r="C302" s="512" t="str">
        <f>IFERROR(VLOOKUP(B302,MasterSheet!$B$6:$N$421,3,),"n/a")</f>
        <v>PARCHMENT PAPER / WRAPPING RICE</v>
      </c>
      <c r="D302" s="513">
        <v>1</v>
      </c>
      <c r="E302" s="514" t="str">
        <f>IFERROR(VLOOKUP(B302,[4]MasterSheet!B112:N671,10,),"N/a")</f>
        <v>ea</v>
      </c>
      <c r="F302" s="515">
        <f>IFERROR(VLOOKUP(B302,MasterSheet!$B$6:$N$421,11,),"N/a")</f>
        <v>216.45</v>
      </c>
      <c r="G302" s="516">
        <f t="shared" si="80"/>
        <v>216.45</v>
      </c>
      <c r="H302" s="916"/>
      <c r="I302" s="916"/>
      <c r="J302" s="517">
        <f>D302*$J$285</f>
        <v>2</v>
      </c>
      <c r="K302" s="518">
        <f>D302*$K$285</f>
        <v>0</v>
      </c>
      <c r="L302" s="518">
        <f t="shared" si="83"/>
        <v>2</v>
      </c>
      <c r="M302" s="519"/>
      <c r="N302" s="520"/>
      <c r="O302" s="449"/>
    </row>
    <row r="303" spans="2:15" collapsed="1">
      <c r="B303" s="219" t="s">
        <v>1404</v>
      </c>
      <c r="C303" s="15" t="s">
        <v>1405</v>
      </c>
      <c r="D303" s="184">
        <f>E303*(1+$E$8)</f>
        <v>48400.000000000007</v>
      </c>
      <c r="E303" s="184">
        <v>44000</v>
      </c>
      <c r="F303" s="174">
        <f>H306</f>
        <v>15193.833734567903</v>
      </c>
      <c r="G303" s="489">
        <f>I306</f>
        <v>16199.833734567903</v>
      </c>
      <c r="H303" s="500">
        <f>F303/E303</f>
        <v>0.34531440305836142</v>
      </c>
      <c r="I303" s="500">
        <f>G303/E303</f>
        <v>0.36817803942199778</v>
      </c>
      <c r="J303" s="501">
        <f>VLOOKUP(B303,'SALES MIX'!B14:J104,4)</f>
        <v>2</v>
      </c>
      <c r="K303" s="501">
        <f>VLOOKUP(B303,'SALES MIX'!B14:J104,5)</f>
        <v>0</v>
      </c>
      <c r="L303" s="221">
        <f>((F303*J303)+(G303*K303))/((J303+K303)*E303)</f>
        <v>0.34531440305836142</v>
      </c>
      <c r="M303" s="493"/>
      <c r="N303" s="493"/>
      <c r="O303" s="449"/>
    </row>
    <row r="304" spans="2:15" ht="14.65" hidden="1" customHeight="1" outlineLevel="1" thickTop="1">
      <c r="B304" s="913" t="s">
        <v>608</v>
      </c>
      <c r="C304" s="914" t="s">
        <v>1305</v>
      </c>
      <c r="D304" s="915" t="s">
        <v>1306</v>
      </c>
      <c r="E304" s="915" t="s">
        <v>60</v>
      </c>
      <c r="F304" s="915" t="s">
        <v>615</v>
      </c>
      <c r="G304" s="915" t="s">
        <v>755</v>
      </c>
      <c r="H304" s="907" t="s">
        <v>1312</v>
      </c>
      <c r="I304" s="907"/>
      <c r="J304" s="907" t="s">
        <v>1319</v>
      </c>
      <c r="K304" s="907"/>
      <c r="L304" s="908" t="s">
        <v>1313</v>
      </c>
      <c r="M304" s="907" t="s">
        <v>912</v>
      </c>
      <c r="N304" s="917"/>
      <c r="O304" s="449"/>
    </row>
    <row r="305" spans="2:15" ht="14.65" hidden="1" customHeight="1" outlineLevel="1" thickBot="1">
      <c r="B305" s="894"/>
      <c r="C305" s="896"/>
      <c r="D305" s="898"/>
      <c r="E305" s="898"/>
      <c r="F305" s="898"/>
      <c r="G305" s="898"/>
      <c r="H305" s="502" t="s">
        <v>1309</v>
      </c>
      <c r="I305" s="502" t="s">
        <v>1308</v>
      </c>
      <c r="J305" s="502" t="s">
        <v>1309</v>
      </c>
      <c r="K305" s="502" t="s">
        <v>1308</v>
      </c>
      <c r="L305" s="901"/>
      <c r="M305" s="903"/>
      <c r="N305" s="904"/>
      <c r="O305" s="449"/>
    </row>
    <row r="306" spans="2:15" ht="14.25" hidden="1" customHeight="1" outlineLevel="1">
      <c r="B306" s="504" t="s">
        <v>631</v>
      </c>
      <c r="C306" s="15" t="str">
        <f>IFERROR(VLOOKUP(B306,MasterSheet!$B$6:$N$150,3,),"n/a")</f>
        <v>Injected Whole Chicken (1.25kg)</v>
      </c>
      <c r="D306" s="499">
        <f>1250/9</f>
        <v>138.88888888888889</v>
      </c>
      <c r="E306" s="505" t="str">
        <f>IFERROR(VLOOKUP(B306,[4]MasterSheet!$B$6:$N$144,10,),"N/a")</f>
        <v>g</v>
      </c>
      <c r="F306" s="506">
        <f>IFERROR(VLOOKUP(B306,MasterSheet!$B$6:$N$150,11,),"N/a")</f>
        <v>34.314223999999996</v>
      </c>
      <c r="G306" s="488">
        <f>IFERROR(D306*F306,"_")</f>
        <v>4765.8644444444435</v>
      </c>
      <c r="H306" s="905">
        <f>SUM(G306:G314,G316,G320,G318)</f>
        <v>15193.833734567903</v>
      </c>
      <c r="I306" s="905">
        <f>SUM(G306:G313,G315,G316,G320,G317,G319)</f>
        <v>16199.833734567903</v>
      </c>
      <c r="J306" s="491">
        <f>D306*$J$303</f>
        <v>277.77777777777777</v>
      </c>
      <c r="K306" s="501">
        <f>D306*$K$303</f>
        <v>0</v>
      </c>
      <c r="L306" s="501">
        <f>SUM(J306:K306)</f>
        <v>277.77777777777777</v>
      </c>
      <c r="M306" s="493"/>
      <c r="N306" s="507"/>
      <c r="O306" s="449"/>
    </row>
    <row r="307" spans="2:15" ht="14.25" hidden="1" customHeight="1" outlineLevel="1">
      <c r="B307" s="508" t="s">
        <v>664</v>
      </c>
      <c r="C307" s="15" t="str">
        <f>IFERROR(VLOOKUP(B307,MasterSheet!$B$6:$N$150,3,),"n/a")</f>
        <v>Mala Hot Sauce</v>
      </c>
      <c r="D307" s="499">
        <f>D306*12%</f>
        <v>16.666666666666664</v>
      </c>
      <c r="E307" s="505" t="str">
        <f>IFERROR(VLOOKUP(B307,[4]MasterSheet!$B$6:$N$144,10,),"N/a")</f>
        <v>g</v>
      </c>
      <c r="F307" s="506">
        <f>IFERROR(VLOOKUP(B307,MasterSheet!$B$6:$N$150,11,),"N/a")</f>
        <v>125.26041666666667</v>
      </c>
      <c r="G307" s="488">
        <f t="shared" ref="G307:G320" si="84">IFERROR(D307*F307,"_")</f>
        <v>2087.6736111111109</v>
      </c>
      <c r="H307" s="905"/>
      <c r="I307" s="905"/>
      <c r="J307" s="491">
        <f t="shared" ref="J307:J313" si="85">D307*$J$303</f>
        <v>33.333333333333329</v>
      </c>
      <c r="K307" s="501">
        <f t="shared" ref="K307:K313" si="86">D307*$K$303</f>
        <v>0</v>
      </c>
      <c r="L307" s="501">
        <f t="shared" ref="L307:L320" si="87">SUM(J307:K307)</f>
        <v>33.333333333333329</v>
      </c>
      <c r="M307" s="493"/>
      <c r="N307" s="507"/>
      <c r="O307" s="449"/>
    </row>
    <row r="308" spans="2:15" ht="14.25" hidden="1" customHeight="1" outlineLevel="1">
      <c r="B308" s="508" t="s">
        <v>999</v>
      </c>
      <c r="C308" s="15" t="str">
        <f>IFERROR(VLOOKUP(B308,MasterSheet!$B$6:$N$150,3,),"n/a")</f>
        <v>Palm Oil</v>
      </c>
      <c r="D308" s="499">
        <f>D306*0.1</f>
        <v>13.888888888888889</v>
      </c>
      <c r="E308" s="505" t="str">
        <f>IFERROR(VLOOKUP(B308,[4]MasterSheet!$B$6:$N$144,10,),"N/a")</f>
        <v>g</v>
      </c>
      <c r="F308" s="506">
        <f>IFERROR(VLOOKUP(B308,MasterSheet!$B$6:$N$150,11,),"N/a")</f>
        <v>25.580404040404041</v>
      </c>
      <c r="G308" s="488">
        <f t="shared" si="84"/>
        <v>355.28338945005612</v>
      </c>
      <c r="H308" s="905"/>
      <c r="I308" s="905"/>
      <c r="J308" s="491">
        <f t="shared" si="85"/>
        <v>27.777777777777779</v>
      </c>
      <c r="K308" s="501">
        <f t="shared" si="86"/>
        <v>0</v>
      </c>
      <c r="L308" s="501">
        <f t="shared" si="87"/>
        <v>27.777777777777779</v>
      </c>
      <c r="M308" s="493"/>
      <c r="N308" s="507"/>
      <c r="O308" s="449"/>
    </row>
    <row r="309" spans="2:15" ht="14.25" hidden="1" customHeight="1" outlineLevel="1">
      <c r="B309" s="508" t="s">
        <v>1108</v>
      </c>
      <c r="C309" s="15" t="str">
        <f>IFERROR(VLOOKUP(B309,MasterSheet!$B$6:$N$150,3,),"n/a")</f>
        <v>Crushed Peanut</v>
      </c>
      <c r="D309" s="499">
        <v>1</v>
      </c>
      <c r="E309" s="505" t="str">
        <f>IFERROR(VLOOKUP(B309,[4]MasterSheet!$B$6:$N$144,10,),"N/a")</f>
        <v>g</v>
      </c>
      <c r="F309" s="506">
        <f>IFERROR(VLOOKUP(B309,MasterSheet!$B$6:$N$150,11,),"N/a")</f>
        <v>62.525252525252526</v>
      </c>
      <c r="G309" s="488">
        <f t="shared" si="84"/>
        <v>62.525252525252526</v>
      </c>
      <c r="H309" s="905"/>
      <c r="I309" s="905"/>
      <c r="J309" s="491">
        <f t="shared" si="85"/>
        <v>2</v>
      </c>
      <c r="K309" s="501">
        <f t="shared" si="86"/>
        <v>0</v>
      </c>
      <c r="L309" s="501">
        <f t="shared" si="87"/>
        <v>2</v>
      </c>
      <c r="M309" s="493"/>
      <c r="N309" s="507"/>
      <c r="O309" s="449"/>
    </row>
    <row r="310" spans="2:15" ht="14.25" hidden="1" customHeight="1" outlineLevel="1">
      <c r="B310" s="508" t="s">
        <v>785</v>
      </c>
      <c r="C310" s="15" t="str">
        <f>IFERROR(VLOOKUP(B310,MasterSheet!$B$6:$N$150,3,),"n/a")</f>
        <v xml:space="preserve">Black Tea (w/water) </v>
      </c>
      <c r="D310" s="499">
        <v>250</v>
      </c>
      <c r="E310" s="505" t="str">
        <f>IFERROR(VLOOKUP(B310,[4]MasterSheet!$B$6:$N$144,10,),"N/a")</f>
        <v>g</v>
      </c>
      <c r="F310" s="506">
        <f>IFERROR(VLOOKUP(B310,MasterSheet!$B$6:$N$150,11,),"N/a")</f>
        <v>1.6818181818181819</v>
      </c>
      <c r="G310" s="488">
        <f t="shared" si="84"/>
        <v>420.4545454545455</v>
      </c>
      <c r="H310" s="905"/>
      <c r="I310" s="905"/>
      <c r="J310" s="491">
        <f t="shared" si="85"/>
        <v>500</v>
      </c>
      <c r="K310" s="501">
        <f t="shared" si="86"/>
        <v>0</v>
      </c>
      <c r="L310" s="501">
        <f t="shared" si="87"/>
        <v>500</v>
      </c>
      <c r="M310" s="493"/>
      <c r="N310" s="507"/>
      <c r="O310" s="449"/>
    </row>
    <row r="311" spans="2:15" ht="14.25" hidden="1" customHeight="1" outlineLevel="1">
      <c r="B311" s="508" t="s">
        <v>1029</v>
      </c>
      <c r="C311" s="15" t="str">
        <f>IFERROR(VLOOKUP(B311,MasterSheet!$B$6:$N$150,3,),"n/a")</f>
        <v>GIMBORI (Crispy Seaweed)</v>
      </c>
      <c r="D311" s="499">
        <v>1</v>
      </c>
      <c r="E311" s="505" t="str">
        <f>IFERROR(VLOOKUP(B311,[4]MasterSheet!$B$6:$N$144,10,),"N/a")</f>
        <v>g</v>
      </c>
      <c r="F311" s="506">
        <f>IFERROR(VLOOKUP(B311,MasterSheet!$B$6:$N$150,11,),"N/a")</f>
        <v>390.90909090909093</v>
      </c>
      <c r="G311" s="488">
        <f t="shared" si="84"/>
        <v>390.90909090909093</v>
      </c>
      <c r="H311" s="905"/>
      <c r="I311" s="905"/>
      <c r="J311" s="491">
        <f t="shared" si="85"/>
        <v>2</v>
      </c>
      <c r="K311" s="501">
        <f t="shared" si="86"/>
        <v>0</v>
      </c>
      <c r="L311" s="501">
        <f t="shared" si="87"/>
        <v>2</v>
      </c>
      <c r="M311" s="493"/>
      <c r="N311" s="507"/>
      <c r="O311" s="449"/>
    </row>
    <row r="312" spans="2:15" ht="14.25" hidden="1" customHeight="1" outlineLevel="1">
      <c r="B312" s="509" t="s">
        <v>568</v>
      </c>
      <c r="C312" s="15" t="str">
        <f>VLOOKUP(B312,CK!$B$8:$L$87,4,)</f>
        <v>Battering Powder Mix C Solution(Yellow)</v>
      </c>
      <c r="D312" s="510">
        <f>D306*0.21</f>
        <v>29.166666666666664</v>
      </c>
      <c r="E312" s="505" t="str">
        <f>VLOOKUP(B312,[4]CK!$B$8:$L$87,9,)</f>
        <v>g</v>
      </c>
      <c r="F312" s="506">
        <f>VLOOKUP(B312,CK!$B$8:$L$87,10,)</f>
        <v>23.80952380952381</v>
      </c>
      <c r="G312" s="488">
        <f t="shared" si="84"/>
        <v>694.44444444444446</v>
      </c>
      <c r="H312" s="905"/>
      <c r="I312" s="905"/>
      <c r="J312" s="491">
        <f t="shared" si="85"/>
        <v>58.333333333333329</v>
      </c>
      <c r="K312" s="501">
        <f t="shared" si="86"/>
        <v>0</v>
      </c>
      <c r="L312" s="501">
        <f t="shared" si="87"/>
        <v>58.333333333333329</v>
      </c>
      <c r="M312" s="493"/>
      <c r="N312" s="507"/>
      <c r="O312" s="449"/>
    </row>
    <row r="313" spans="2:15" ht="14.25" hidden="1" customHeight="1" outlineLevel="1">
      <c r="B313" s="509" t="s">
        <v>1397</v>
      </c>
      <c r="C313" s="15" t="str">
        <f>VLOOKUP(B313,CK!$B$8:$L$87,4,)</f>
        <v>French Fries</v>
      </c>
      <c r="D313" s="510">
        <v>100</v>
      </c>
      <c r="E313" s="505" t="str">
        <f>VLOOKUP(B313,[4]CK!$B$8:$L$87,9,)</f>
        <v>g</v>
      </c>
      <c r="F313" s="506">
        <f>VLOOKUP(B313,CK!$B$8:$L$87,10,)</f>
        <v>43.15228956228956</v>
      </c>
      <c r="G313" s="488">
        <f t="shared" si="84"/>
        <v>4315.2289562289561</v>
      </c>
      <c r="H313" s="905"/>
      <c r="I313" s="905"/>
      <c r="J313" s="491">
        <f t="shared" si="85"/>
        <v>200</v>
      </c>
      <c r="K313" s="501">
        <f t="shared" si="86"/>
        <v>0</v>
      </c>
      <c r="L313" s="501">
        <f t="shared" si="87"/>
        <v>200</v>
      </c>
      <c r="M313" s="493"/>
      <c r="N313" s="507"/>
      <c r="O313" s="449"/>
    </row>
    <row r="314" spans="2:15" ht="14.25" hidden="1" customHeight="1" outlineLevel="1">
      <c r="B314" s="523" t="s">
        <v>1341</v>
      </c>
      <c r="C314" s="15" t="str">
        <f>IFERROR(VLOOKUP(B314,MasterSheet!$B$6:$N$521,3,),"n/a")</f>
        <v>BB.Q Papertray</v>
      </c>
      <c r="D314" s="510">
        <v>1</v>
      </c>
      <c r="E314" s="505" t="str">
        <f>IFERROR(VLOOKUP(B314,[4]MasterSheet!$B$6:$N$515,10,),"N/a")</f>
        <v>ea</v>
      </c>
      <c r="F314" s="506">
        <f>IFERROR(VLOOKUP(B314,MasterSheet!$B$6:$N$521,11,),"N/a")</f>
        <v>600</v>
      </c>
      <c r="G314" s="488">
        <f t="shared" si="84"/>
        <v>600</v>
      </c>
      <c r="H314" s="905"/>
      <c r="I314" s="905"/>
      <c r="J314" s="491">
        <f>D314*$J$303</f>
        <v>2</v>
      </c>
      <c r="K314" s="501"/>
      <c r="L314" s="501">
        <f t="shared" si="87"/>
        <v>2</v>
      </c>
      <c r="M314" s="493"/>
      <c r="N314" s="507"/>
      <c r="O314" s="449"/>
    </row>
    <row r="315" spans="2:15" ht="14.25" hidden="1" customHeight="1" outlineLevel="1">
      <c r="B315" s="523" t="s">
        <v>1335</v>
      </c>
      <c r="C315" s="15" t="str">
        <f>IFERROR(VLOOKUP(B315,MasterSheet!$B$6:$N$521,3,),"n/a")</f>
        <v xml:space="preserve">BB.Q FOODPAIL M </v>
      </c>
      <c r="D315" s="510">
        <v>1</v>
      </c>
      <c r="E315" s="505" t="str">
        <f>IFERROR(VLOOKUP(B315,[4]MasterSheet!$B$6:$N$515,10,),"N/a")</f>
        <v>ea</v>
      </c>
      <c r="F315" s="506">
        <f>IFERROR(VLOOKUP(B315,MasterSheet!$B$6:$N$521,11,),"N/a")</f>
        <v>1204</v>
      </c>
      <c r="G315" s="488">
        <f t="shared" si="84"/>
        <v>1204</v>
      </c>
      <c r="H315" s="905"/>
      <c r="I315" s="905"/>
      <c r="J315" s="491"/>
      <c r="K315" s="501">
        <f>D315*$K$303</f>
        <v>0</v>
      </c>
      <c r="L315" s="501">
        <f t="shared" si="87"/>
        <v>0</v>
      </c>
      <c r="M315" s="493"/>
      <c r="N315" s="507"/>
      <c r="O315" s="449"/>
    </row>
    <row r="316" spans="2:15" ht="14.25" hidden="1" customHeight="1" outlineLevel="1">
      <c r="B316" s="523" t="s">
        <v>1365</v>
      </c>
      <c r="C316" s="15" t="str">
        <f>IFERROR(VLOOKUP(B316,MasterSheet!$B$6:$N$521,3,),"n/a")</f>
        <v>Drink Package(16oz)</v>
      </c>
      <c r="D316" s="510">
        <v>1</v>
      </c>
      <c r="E316" s="505" t="str">
        <f>IFERROR(VLOOKUP(B316,[4]MasterSheet!$B$6:$N$515,10,),"N/a")</f>
        <v>ea</v>
      </c>
      <c r="F316" s="506">
        <f>IFERROR(VLOOKUP(B316,MasterSheet!$B$6:$N$521,11,),"N/a")</f>
        <v>750</v>
      </c>
      <c r="G316" s="488">
        <f t="shared" si="84"/>
        <v>750</v>
      </c>
      <c r="H316" s="905"/>
      <c r="I316" s="905"/>
      <c r="J316" s="491">
        <f>D316*$J$303</f>
        <v>2</v>
      </c>
      <c r="K316" s="501">
        <f>D316*$K$303</f>
        <v>0</v>
      </c>
      <c r="L316" s="501">
        <f t="shared" si="87"/>
        <v>2</v>
      </c>
      <c r="M316" s="493"/>
      <c r="N316" s="507"/>
      <c r="O316" s="449"/>
    </row>
    <row r="317" spans="2:15" ht="14.25" hidden="1" customHeight="1" outlineLevel="1">
      <c r="B317" s="523" t="s">
        <v>1384</v>
      </c>
      <c r="C317" s="15" t="str">
        <f>IFERROR(VLOOKUP(B317,MasterSheet!$B$6:$N$521,3,),"n/a")</f>
        <v>DRINK PACKAGE LID(16OZ)</v>
      </c>
      <c r="D317" s="510">
        <v>1</v>
      </c>
      <c r="E317" s="505" t="str">
        <f>IFERROR(VLOOKUP(B317,[4]MasterSheet!$B$6:$N$515,10,),"N/a")</f>
        <v>ea</v>
      </c>
      <c r="F317" s="506">
        <f>IFERROR(VLOOKUP(B317,MasterSheet!$B$6:$N$521,11,),"N/a")</f>
        <v>200</v>
      </c>
      <c r="G317" s="488">
        <f t="shared" si="84"/>
        <v>200</v>
      </c>
      <c r="H317" s="905"/>
      <c r="I317" s="905"/>
      <c r="J317" s="491"/>
      <c r="K317" s="501">
        <f>D317*$K$303</f>
        <v>0</v>
      </c>
      <c r="L317" s="501">
        <f t="shared" si="87"/>
        <v>0</v>
      </c>
      <c r="M317" s="493"/>
      <c r="N317" s="507"/>
      <c r="O317" s="449"/>
    </row>
    <row r="318" spans="2:15" ht="14.25" hidden="1" customHeight="1" outlineLevel="1">
      <c r="B318" s="523" t="s">
        <v>1401</v>
      </c>
      <c r="C318" s="15" t="str">
        <f>IFERROR(VLOOKUP(B318,MasterSheet!$B$6:$N$521,3,),"n/a")</f>
        <v xml:space="preserve">BB.Q POTATO FRIES BOX (Dine-in) </v>
      </c>
      <c r="D318" s="510">
        <v>1</v>
      </c>
      <c r="E318" s="505" t="str">
        <f>IFERROR(VLOOKUP(B318,[4]MasterSheet!$B$6:$N$515,10,),"N/a")</f>
        <v>ea</v>
      </c>
      <c r="F318" s="506">
        <f>IFERROR(VLOOKUP(B318,MasterSheet!$B$6:$N$521,11,),"N/a")</f>
        <v>535</v>
      </c>
      <c r="G318" s="488">
        <f>IFERROR(D318*F318,"_")</f>
        <v>535</v>
      </c>
      <c r="H318" s="905"/>
      <c r="I318" s="905"/>
      <c r="J318" s="491">
        <f>D318*$J$303</f>
        <v>2</v>
      </c>
      <c r="K318" s="501"/>
      <c r="L318" s="501">
        <f t="shared" si="87"/>
        <v>2</v>
      </c>
      <c r="M318" s="493"/>
      <c r="N318" s="507"/>
      <c r="O318" s="449"/>
    </row>
    <row r="319" spans="2:15" ht="14.25" hidden="1" customHeight="1" outlineLevel="1">
      <c r="B319" s="523" t="s">
        <v>1396</v>
      </c>
      <c r="C319" s="15" t="str">
        <f>IFERROR(VLOOKUP(B319,MasterSheet!$B$6:$N$521,3,),"n/a")</f>
        <v>BB.Q PAPER BAG FRIES (TakeAway)</v>
      </c>
      <c r="D319" s="510">
        <v>1</v>
      </c>
      <c r="E319" s="505" t="str">
        <f>IFERROR(VLOOKUP(B319,[4]MasterSheet!$B$6:$N$515,10,),"N/a")</f>
        <v>ea</v>
      </c>
      <c r="F319" s="506">
        <f>IFERROR(VLOOKUP(B319,MasterSheet!$B$6:$N$521,11,),"N/a")</f>
        <v>737</v>
      </c>
      <c r="G319" s="488">
        <f>IFERROR(D319*F319,"_")</f>
        <v>737</v>
      </c>
      <c r="H319" s="905"/>
      <c r="I319" s="905"/>
      <c r="J319" s="491"/>
      <c r="K319" s="501">
        <f>D319*$K$303</f>
        <v>0</v>
      </c>
      <c r="L319" s="501">
        <f t="shared" si="87"/>
        <v>0</v>
      </c>
      <c r="M319" s="493"/>
      <c r="N319" s="507"/>
      <c r="O319" s="449"/>
    </row>
    <row r="320" spans="2:15" ht="14.65" hidden="1" customHeight="1" outlineLevel="1" thickBot="1">
      <c r="B320" s="524" t="s">
        <v>1150</v>
      </c>
      <c r="C320" s="512" t="str">
        <f>IFERROR(VLOOKUP(B320,MasterSheet!$B$6:$N$421,3,),"n/a")</f>
        <v>PARCHMENT PAPER / WRAPPING RICE</v>
      </c>
      <c r="D320" s="513">
        <v>1</v>
      </c>
      <c r="E320" s="514" t="str">
        <f>IFERROR(VLOOKUP(B320,[4]MasterSheet!B134:N689,10,),"N/a")</f>
        <v>ea</v>
      </c>
      <c r="F320" s="515">
        <f>IFERROR(VLOOKUP(B320,MasterSheet!$B$6:$N$421,11,),"N/a")</f>
        <v>216.45</v>
      </c>
      <c r="G320" s="516">
        <f t="shared" si="84"/>
        <v>216.45</v>
      </c>
      <c r="H320" s="916"/>
      <c r="I320" s="916"/>
      <c r="J320" s="517">
        <f>D320*$J$232</f>
        <v>0</v>
      </c>
      <c r="K320" s="518">
        <f>D320*$K$303</f>
        <v>0</v>
      </c>
      <c r="L320" s="518">
        <f t="shared" si="87"/>
        <v>0</v>
      </c>
      <c r="M320" s="519"/>
      <c r="N320" s="520"/>
      <c r="O320" s="449"/>
    </row>
    <row r="321" spans="2:15" collapsed="1">
      <c r="B321" s="219" t="s">
        <v>1406</v>
      </c>
      <c r="C321" s="15" t="s">
        <v>1407</v>
      </c>
      <c r="D321" s="184">
        <f>E321*(1+$E$8)</f>
        <v>48400.000000000007</v>
      </c>
      <c r="E321" s="184">
        <v>44000</v>
      </c>
      <c r="F321" s="174">
        <f>H324</f>
        <v>14947.581761714366</v>
      </c>
      <c r="G321" s="489">
        <f>I324</f>
        <v>15953.581761714366</v>
      </c>
      <c r="H321" s="500">
        <f>F321/E321</f>
        <v>0.33971776731169012</v>
      </c>
      <c r="I321" s="500">
        <f>G321/E321</f>
        <v>0.36258140367532649</v>
      </c>
      <c r="J321" s="501">
        <f>VLOOKUP(B321,'SALES MIX'!B14:J104,4)</f>
        <v>2</v>
      </c>
      <c r="K321" s="501">
        <f>VLOOKUP(B321,'SALES MIX'!B14:J104,5)</f>
        <v>0</v>
      </c>
      <c r="L321" s="221">
        <f>((F321*J321)+(G321*K321))/((J321+K321)*E321)</f>
        <v>0.33971776731169012</v>
      </c>
      <c r="M321" s="493"/>
      <c r="N321" s="493"/>
      <c r="O321" s="449"/>
    </row>
    <row r="322" spans="2:15" ht="14.65" hidden="1" customHeight="1" outlineLevel="1" thickTop="1">
      <c r="B322" s="913" t="s">
        <v>608</v>
      </c>
      <c r="C322" s="914" t="s">
        <v>1305</v>
      </c>
      <c r="D322" s="915" t="s">
        <v>1306</v>
      </c>
      <c r="E322" s="915" t="s">
        <v>60</v>
      </c>
      <c r="F322" s="915" t="s">
        <v>615</v>
      </c>
      <c r="G322" s="915" t="s">
        <v>755</v>
      </c>
      <c r="H322" s="907" t="s">
        <v>1312</v>
      </c>
      <c r="I322" s="907"/>
      <c r="J322" s="907" t="s">
        <v>1319</v>
      </c>
      <c r="K322" s="907"/>
      <c r="L322" s="908" t="s">
        <v>1313</v>
      </c>
      <c r="M322" s="907" t="s">
        <v>912</v>
      </c>
      <c r="N322" s="917"/>
      <c r="O322" s="449"/>
    </row>
    <row r="323" spans="2:15" ht="14.65" hidden="1" customHeight="1" outlineLevel="1" thickBot="1">
      <c r="B323" s="894"/>
      <c r="C323" s="896"/>
      <c r="D323" s="898"/>
      <c r="E323" s="898"/>
      <c r="F323" s="898"/>
      <c r="G323" s="898"/>
      <c r="H323" s="502" t="s">
        <v>1309</v>
      </c>
      <c r="I323" s="502" t="s">
        <v>1308</v>
      </c>
      <c r="J323" s="502" t="s">
        <v>1309</v>
      </c>
      <c r="K323" s="502" t="s">
        <v>1308</v>
      </c>
      <c r="L323" s="901"/>
      <c r="M323" s="903"/>
      <c r="N323" s="904"/>
      <c r="O323" s="449"/>
    </row>
    <row r="324" spans="2:15" ht="14.25" hidden="1" customHeight="1" outlineLevel="1">
      <c r="B324" s="504" t="s">
        <v>631</v>
      </c>
      <c r="C324" s="15" t="str">
        <f>IFERROR(VLOOKUP(B324,MasterSheet!$B$6:$N$150,3,),"n/a")</f>
        <v>Injected Whole Chicken (1.25kg)</v>
      </c>
      <c r="D324" s="499">
        <f>1250/9</f>
        <v>138.88888888888889</v>
      </c>
      <c r="E324" s="505" t="str">
        <f>IFERROR(VLOOKUP(B324,[4]MasterSheet!$B$6:$N$144,10,),"N/a")</f>
        <v>g</v>
      </c>
      <c r="F324" s="506">
        <f>IFERROR(VLOOKUP(B324,MasterSheet!$B$6:$N$150,11,),"N/a")</f>
        <v>34.314223999999996</v>
      </c>
      <c r="G324" s="488">
        <f>IFERROR(D324*F324,"_")</f>
        <v>4765.8644444444435</v>
      </c>
      <c r="H324" s="905">
        <f>SUM(G324:G332,G334,G338,G336)</f>
        <v>14947.581761714366</v>
      </c>
      <c r="I324" s="905">
        <f>SUM(G324:G331,G333,G334,G338,G335,G337)</f>
        <v>15953.581761714366</v>
      </c>
      <c r="J324" s="491">
        <f>D324*$J$321</f>
        <v>277.77777777777777</v>
      </c>
      <c r="K324" s="501">
        <f>D324*$K$321</f>
        <v>0</v>
      </c>
      <c r="L324" s="501">
        <f>SUM(J324:K324)</f>
        <v>277.77777777777777</v>
      </c>
      <c r="M324" s="493"/>
      <c r="N324" s="507"/>
      <c r="O324" s="449"/>
    </row>
    <row r="325" spans="2:15" ht="14.25" hidden="1" customHeight="1" outlineLevel="1">
      <c r="B325" s="508" t="s">
        <v>742</v>
      </c>
      <c r="C325" s="15" t="str">
        <f>IFERROR(VLOOKUP(B325,MasterSheet!$B$6:$N$150,3,),"n/a")</f>
        <v>Garlic Flavour Soy Sauce</v>
      </c>
      <c r="D325" s="499">
        <f>D324*11%</f>
        <v>15.277777777777777</v>
      </c>
      <c r="E325" s="505" t="str">
        <f>IFERROR(VLOOKUP(B325,[4]MasterSheet!$B$6:$N$144,10,),"N/a")</f>
        <v>g</v>
      </c>
      <c r="F325" s="506">
        <f>IFERROR(VLOOKUP(B325,MasterSheet!$B$6:$N$150,11,),"N/a")</f>
        <v>112.734375</v>
      </c>
      <c r="G325" s="488">
        <f t="shared" ref="G325:G338" si="88">IFERROR(D325*F325,"_")</f>
        <v>1722.3307291666665</v>
      </c>
      <c r="H325" s="905"/>
      <c r="I325" s="905"/>
      <c r="J325" s="491">
        <f t="shared" ref="J325:J331" si="89">D325*$J$321</f>
        <v>30.555555555555554</v>
      </c>
      <c r="K325" s="501">
        <f t="shared" ref="K325:K331" si="90">D325*$K$321</f>
        <v>0</v>
      </c>
      <c r="L325" s="501">
        <f t="shared" ref="L325:L338" si="91">SUM(J325:K325)</f>
        <v>30.555555555555554</v>
      </c>
      <c r="M325" s="493"/>
      <c r="N325" s="507"/>
      <c r="O325" s="449"/>
    </row>
    <row r="326" spans="2:15" ht="14.25" hidden="1" customHeight="1" outlineLevel="1">
      <c r="B326" s="508" t="s">
        <v>999</v>
      </c>
      <c r="C326" s="15" t="str">
        <f>IFERROR(VLOOKUP(B326,MasterSheet!$B$6:$N$150,3,),"n/a")</f>
        <v>Palm Oil</v>
      </c>
      <c r="D326" s="499">
        <f>D324*0.1</f>
        <v>13.888888888888889</v>
      </c>
      <c r="E326" s="505" t="str">
        <f>IFERROR(VLOOKUP(B326,[4]MasterSheet!$B$6:$N$144,10,),"N/a")</f>
        <v>g</v>
      </c>
      <c r="F326" s="506">
        <f>IFERROR(VLOOKUP(B326,MasterSheet!$B$6:$N$150,11,),"N/a")</f>
        <v>25.580404040404041</v>
      </c>
      <c r="G326" s="488">
        <f t="shared" si="88"/>
        <v>355.28338945005612</v>
      </c>
      <c r="H326" s="905"/>
      <c r="I326" s="905"/>
      <c r="J326" s="491">
        <f t="shared" si="89"/>
        <v>27.777777777777779</v>
      </c>
      <c r="K326" s="501">
        <f t="shared" si="90"/>
        <v>0</v>
      </c>
      <c r="L326" s="501">
        <f t="shared" si="91"/>
        <v>27.777777777777779</v>
      </c>
      <c r="M326" s="493"/>
      <c r="N326" s="507"/>
      <c r="O326" s="449"/>
    </row>
    <row r="327" spans="2:15" ht="14.25" hidden="1" customHeight="1" outlineLevel="1">
      <c r="B327" s="508" t="s">
        <v>1004</v>
      </c>
      <c r="C327" s="15" t="str">
        <f>IFERROR(VLOOKUP(B327,MasterSheet!$B$6:$N$150,3,),"n/a")</f>
        <v>Garlic Chip</v>
      </c>
      <c r="D327" s="499">
        <v>2</v>
      </c>
      <c r="E327" s="505" t="str">
        <f>IFERROR(VLOOKUP(B327,[4]MasterSheet!$B$6:$N$144,10,),"N/a")</f>
        <v>g</v>
      </c>
      <c r="F327" s="506">
        <f>IFERROR(VLOOKUP(B327,MasterSheet!$B$6:$N$150,11,),"N/a")</f>
        <v>90.808080808080817</v>
      </c>
      <c r="G327" s="488">
        <f t="shared" si="88"/>
        <v>181.61616161616163</v>
      </c>
      <c r="H327" s="905"/>
      <c r="I327" s="905"/>
      <c r="J327" s="491">
        <f t="shared" si="89"/>
        <v>4</v>
      </c>
      <c r="K327" s="501">
        <f t="shared" si="90"/>
        <v>0</v>
      </c>
      <c r="L327" s="501">
        <f t="shared" si="91"/>
        <v>4</v>
      </c>
      <c r="M327" s="493"/>
      <c r="N327" s="507"/>
      <c r="O327" s="449"/>
    </row>
    <row r="328" spans="2:15" ht="14.25" hidden="1" customHeight="1" outlineLevel="1">
      <c r="B328" s="508" t="s">
        <v>785</v>
      </c>
      <c r="C328" s="15" t="str">
        <f>IFERROR(VLOOKUP(B328,MasterSheet!$B$6:$N$150,3,),"n/a")</f>
        <v xml:space="preserve">Black Tea (w/water) </v>
      </c>
      <c r="D328" s="499">
        <v>250</v>
      </c>
      <c r="E328" s="505" t="str">
        <f>IFERROR(VLOOKUP(B328,[4]MasterSheet!$B$6:$N$144,10,),"N/a")</f>
        <v>g</v>
      </c>
      <c r="F328" s="506">
        <f>IFERROR(VLOOKUP(B328,MasterSheet!$B$6:$N$150,11,),"N/a")</f>
        <v>1.6818181818181819</v>
      </c>
      <c r="G328" s="488">
        <f t="shared" si="88"/>
        <v>420.4545454545455</v>
      </c>
      <c r="H328" s="905"/>
      <c r="I328" s="905"/>
      <c r="J328" s="491">
        <f t="shared" si="89"/>
        <v>500</v>
      </c>
      <c r="K328" s="501">
        <f t="shared" si="90"/>
        <v>0</v>
      </c>
      <c r="L328" s="501">
        <f t="shared" si="91"/>
        <v>500</v>
      </c>
      <c r="M328" s="493"/>
      <c r="N328" s="507"/>
      <c r="O328" s="449"/>
    </row>
    <row r="329" spans="2:15" ht="14.25" hidden="1" customHeight="1" outlineLevel="1">
      <c r="B329" s="508" t="s">
        <v>1029</v>
      </c>
      <c r="C329" s="15" t="str">
        <f>IFERROR(VLOOKUP(B329,MasterSheet!$B$6:$N$150,3,),"n/a")</f>
        <v>GIMBORI (Crispy Seaweed)</v>
      </c>
      <c r="D329" s="499">
        <v>1</v>
      </c>
      <c r="E329" s="505" t="str">
        <f>IFERROR(VLOOKUP(B329,[4]MasterSheet!$B$6:$N$144,10,),"N/a")</f>
        <v>g</v>
      </c>
      <c r="F329" s="506">
        <f>IFERROR(VLOOKUP(B329,MasterSheet!$B$6:$N$150,11,),"N/a")</f>
        <v>390.90909090909093</v>
      </c>
      <c r="G329" s="488">
        <f t="shared" si="88"/>
        <v>390.90909090909093</v>
      </c>
      <c r="H329" s="905"/>
      <c r="I329" s="905"/>
      <c r="J329" s="491">
        <f t="shared" si="89"/>
        <v>2</v>
      </c>
      <c r="K329" s="501">
        <f t="shared" si="90"/>
        <v>0</v>
      </c>
      <c r="L329" s="501">
        <f t="shared" si="91"/>
        <v>2</v>
      </c>
      <c r="M329" s="493"/>
      <c r="N329" s="507"/>
      <c r="O329" s="449"/>
    </row>
    <row r="330" spans="2:15" ht="14.25" hidden="1" customHeight="1" outlineLevel="1">
      <c r="B330" s="509" t="s">
        <v>568</v>
      </c>
      <c r="C330" s="15" t="str">
        <f>VLOOKUP(B330,CK!$B$8:$L$87,4,)</f>
        <v>Battering Powder Mix C Solution(Yellow)</v>
      </c>
      <c r="D330" s="510">
        <f>D324*0.21</f>
        <v>29.166666666666664</v>
      </c>
      <c r="E330" s="505" t="str">
        <f>VLOOKUP(B330,[4]CK!$B$8:$L$87,9,)</f>
        <v>g</v>
      </c>
      <c r="F330" s="506">
        <f>VLOOKUP(B330,CK!$B$8:$L$87,10,)</f>
        <v>23.80952380952381</v>
      </c>
      <c r="G330" s="488">
        <f t="shared" si="88"/>
        <v>694.44444444444446</v>
      </c>
      <c r="H330" s="905"/>
      <c r="I330" s="905"/>
      <c r="J330" s="491">
        <f t="shared" si="89"/>
        <v>58.333333333333329</v>
      </c>
      <c r="K330" s="501">
        <f t="shared" si="90"/>
        <v>0</v>
      </c>
      <c r="L330" s="501">
        <f t="shared" si="91"/>
        <v>58.333333333333329</v>
      </c>
      <c r="M330" s="493"/>
      <c r="N330" s="507"/>
      <c r="O330" s="449"/>
    </row>
    <row r="331" spans="2:15" ht="14.25" hidden="1" customHeight="1" outlineLevel="1">
      <c r="B331" s="509" t="s">
        <v>1397</v>
      </c>
      <c r="C331" s="15" t="str">
        <f>VLOOKUP(B331,CK!$B$8:$L$87,4,)</f>
        <v>French Fries</v>
      </c>
      <c r="D331" s="510">
        <v>100</v>
      </c>
      <c r="E331" s="505" t="str">
        <f>VLOOKUP(B331,[4]CK!$B$8:$L$87,9,)</f>
        <v>g</v>
      </c>
      <c r="F331" s="506">
        <f>VLOOKUP(B331,CK!$B$8:$L$87,10,)</f>
        <v>43.15228956228956</v>
      </c>
      <c r="G331" s="488">
        <f t="shared" si="88"/>
        <v>4315.2289562289561</v>
      </c>
      <c r="H331" s="905"/>
      <c r="I331" s="905"/>
      <c r="J331" s="491">
        <f t="shared" si="89"/>
        <v>200</v>
      </c>
      <c r="K331" s="501">
        <f t="shared" si="90"/>
        <v>0</v>
      </c>
      <c r="L331" s="501">
        <f t="shared" si="91"/>
        <v>200</v>
      </c>
      <c r="M331" s="493"/>
      <c r="N331" s="507"/>
      <c r="O331" s="449"/>
    </row>
    <row r="332" spans="2:15" ht="14.25" hidden="1" customHeight="1" outlineLevel="1">
      <c r="B332" s="523" t="s">
        <v>1341</v>
      </c>
      <c r="C332" s="15" t="str">
        <f>IFERROR(VLOOKUP(B332,MasterSheet!$B$6:$N$521,3,),"n/a")</f>
        <v>BB.Q Papertray</v>
      </c>
      <c r="D332" s="510">
        <v>1</v>
      </c>
      <c r="E332" s="505" t="str">
        <f>IFERROR(VLOOKUP(B332,[4]MasterSheet!$B$6:$N$515,10,),"N/a")</f>
        <v>ea</v>
      </c>
      <c r="F332" s="506">
        <f>IFERROR(VLOOKUP(B332,MasterSheet!$B$6:$N$521,11,),"N/a")</f>
        <v>600</v>
      </c>
      <c r="G332" s="488">
        <f t="shared" si="88"/>
        <v>600</v>
      </c>
      <c r="H332" s="905"/>
      <c r="I332" s="905"/>
      <c r="J332" s="491">
        <f>D332*$J$321</f>
        <v>2</v>
      </c>
      <c r="K332" s="501"/>
      <c r="L332" s="501">
        <f t="shared" si="91"/>
        <v>2</v>
      </c>
      <c r="M332" s="493"/>
      <c r="N332" s="507"/>
      <c r="O332" s="449"/>
    </row>
    <row r="333" spans="2:15" ht="14.25" hidden="1" customHeight="1" outlineLevel="1">
      <c r="B333" s="523" t="s">
        <v>1335</v>
      </c>
      <c r="C333" s="15" t="str">
        <f>IFERROR(VLOOKUP(B333,MasterSheet!$B$6:$N$521,3,),"n/a")</f>
        <v xml:space="preserve">BB.Q FOODPAIL M </v>
      </c>
      <c r="D333" s="510">
        <v>1</v>
      </c>
      <c r="E333" s="505" t="str">
        <f>IFERROR(VLOOKUP(B333,[4]MasterSheet!$B$6:$N$515,10,),"N/a")</f>
        <v>ea</v>
      </c>
      <c r="F333" s="506">
        <f>IFERROR(VLOOKUP(B333,MasterSheet!$B$6:$N$521,11,),"N/a")</f>
        <v>1204</v>
      </c>
      <c r="G333" s="488">
        <f t="shared" si="88"/>
        <v>1204</v>
      </c>
      <c r="H333" s="905"/>
      <c r="I333" s="905"/>
      <c r="J333" s="491"/>
      <c r="K333" s="501">
        <f>D333*$K$321</f>
        <v>0</v>
      </c>
      <c r="L333" s="501">
        <f t="shared" si="91"/>
        <v>0</v>
      </c>
      <c r="M333" s="493"/>
      <c r="N333" s="507"/>
      <c r="O333" s="449"/>
    </row>
    <row r="334" spans="2:15" ht="14.25" hidden="1" customHeight="1" outlineLevel="1">
      <c r="B334" s="523" t="s">
        <v>1365</v>
      </c>
      <c r="C334" s="15" t="str">
        <f>IFERROR(VLOOKUP(B334,MasterSheet!$B$6:$N$521,3,),"n/a")</f>
        <v>Drink Package(16oz)</v>
      </c>
      <c r="D334" s="510">
        <v>1</v>
      </c>
      <c r="E334" s="505" t="str">
        <f>IFERROR(VLOOKUP(B334,[4]MasterSheet!$B$6:$N$515,10,),"N/a")</f>
        <v>ea</v>
      </c>
      <c r="F334" s="506">
        <f>IFERROR(VLOOKUP(B334,MasterSheet!$B$6:$N$521,11,),"N/a")</f>
        <v>750</v>
      </c>
      <c r="G334" s="488">
        <f t="shared" si="88"/>
        <v>750</v>
      </c>
      <c r="H334" s="905"/>
      <c r="I334" s="905"/>
      <c r="J334" s="491">
        <f>D334*$J$321</f>
        <v>2</v>
      </c>
      <c r="K334" s="501">
        <f>D334*$K$321</f>
        <v>0</v>
      </c>
      <c r="L334" s="501">
        <f t="shared" si="91"/>
        <v>2</v>
      </c>
      <c r="M334" s="493"/>
      <c r="N334" s="507"/>
      <c r="O334" s="449"/>
    </row>
    <row r="335" spans="2:15" ht="14.25" hidden="1" customHeight="1" outlineLevel="1">
      <c r="B335" s="523" t="s">
        <v>1384</v>
      </c>
      <c r="C335" s="15" t="str">
        <f>IFERROR(VLOOKUP(B335,MasterSheet!$B$6:$N$521,3,),"n/a")</f>
        <v>DRINK PACKAGE LID(16OZ)</v>
      </c>
      <c r="D335" s="510">
        <v>1</v>
      </c>
      <c r="E335" s="505" t="str">
        <f>IFERROR(VLOOKUP(B335,[4]MasterSheet!$B$6:$N$515,10,),"N/a")</f>
        <v>ea</v>
      </c>
      <c r="F335" s="506">
        <f>IFERROR(VLOOKUP(B335,MasterSheet!$B$6:$N$521,11,),"N/a")</f>
        <v>200</v>
      </c>
      <c r="G335" s="488">
        <f t="shared" si="88"/>
        <v>200</v>
      </c>
      <c r="H335" s="905"/>
      <c r="I335" s="905"/>
      <c r="J335" s="491"/>
      <c r="K335" s="501">
        <f>D335*$K$321</f>
        <v>0</v>
      </c>
      <c r="L335" s="501">
        <f t="shared" si="91"/>
        <v>0</v>
      </c>
      <c r="M335" s="493"/>
      <c r="N335" s="507"/>
      <c r="O335" s="449"/>
    </row>
    <row r="336" spans="2:15" ht="14.25" hidden="1" customHeight="1" outlineLevel="1">
      <c r="B336" s="523" t="s">
        <v>1401</v>
      </c>
      <c r="C336" s="15" t="str">
        <f>IFERROR(VLOOKUP(B336,MasterSheet!$B$6:$N$521,3,),"n/a")</f>
        <v xml:space="preserve">BB.Q POTATO FRIES BOX (Dine-in) </v>
      </c>
      <c r="D336" s="510">
        <v>1</v>
      </c>
      <c r="E336" s="505" t="str">
        <f>IFERROR(VLOOKUP(B336,[4]MasterSheet!$B$6:$N$515,10,),"N/a")</f>
        <v>ea</v>
      </c>
      <c r="F336" s="506">
        <f>IFERROR(VLOOKUP(B336,MasterSheet!$B$6:$N$521,11,),"N/a")</f>
        <v>535</v>
      </c>
      <c r="G336" s="488">
        <f t="shared" si="88"/>
        <v>535</v>
      </c>
      <c r="H336" s="905"/>
      <c r="I336" s="905"/>
      <c r="J336" s="491">
        <f>D336*$J$321</f>
        <v>2</v>
      </c>
      <c r="K336" s="501"/>
      <c r="L336" s="501">
        <f t="shared" si="91"/>
        <v>2</v>
      </c>
      <c r="M336" s="493"/>
      <c r="N336" s="507"/>
      <c r="O336" s="449"/>
    </row>
    <row r="337" spans="2:15" ht="14.25" hidden="1" customHeight="1" outlineLevel="1">
      <c r="B337" s="523" t="s">
        <v>1396</v>
      </c>
      <c r="C337" s="15" t="str">
        <f>IFERROR(VLOOKUP(B337,MasterSheet!$B$6:$N$521,3,),"n/a")</f>
        <v>BB.Q PAPER BAG FRIES (TakeAway)</v>
      </c>
      <c r="D337" s="510">
        <v>1</v>
      </c>
      <c r="E337" s="505" t="str">
        <f>IFERROR(VLOOKUP(B337,[4]MasterSheet!$B$6:$N$515,10,),"N/a")</f>
        <v>ea</v>
      </c>
      <c r="F337" s="506">
        <f>IFERROR(VLOOKUP(B337,MasterSheet!$B$6:$N$521,11,),"N/a")</f>
        <v>737</v>
      </c>
      <c r="G337" s="488">
        <f t="shared" si="88"/>
        <v>737</v>
      </c>
      <c r="H337" s="905"/>
      <c r="I337" s="905"/>
      <c r="J337" s="491"/>
      <c r="K337" s="501">
        <f>D337*$K$321</f>
        <v>0</v>
      </c>
      <c r="L337" s="501">
        <f t="shared" si="91"/>
        <v>0</v>
      </c>
      <c r="M337" s="493"/>
      <c r="N337" s="507"/>
      <c r="O337" s="449"/>
    </row>
    <row r="338" spans="2:15" ht="14.65" hidden="1" customHeight="1" outlineLevel="1" thickBot="1">
      <c r="B338" s="524" t="s">
        <v>1150</v>
      </c>
      <c r="C338" s="512" t="str">
        <f>IFERROR(VLOOKUP(B338,MasterSheet!$B$6:$N$421,3,),"n/a")</f>
        <v>PARCHMENT PAPER / WRAPPING RICE</v>
      </c>
      <c r="D338" s="513">
        <v>1</v>
      </c>
      <c r="E338" s="514" t="str">
        <f>IFERROR(VLOOKUP(B338,[4]MasterSheet!B138:N707,10,),"N/a")</f>
        <v>ea</v>
      </c>
      <c r="F338" s="515">
        <f>IFERROR(VLOOKUP(B338,MasterSheet!$B$6:$N$421,11,),"N/a")</f>
        <v>216.45</v>
      </c>
      <c r="G338" s="516">
        <f t="shared" si="88"/>
        <v>216.45</v>
      </c>
      <c r="H338" s="916"/>
      <c r="I338" s="916"/>
      <c r="J338" s="517">
        <f>D338*$J$200</f>
        <v>18</v>
      </c>
      <c r="K338" s="518">
        <f>D338*$K$321</f>
        <v>0</v>
      </c>
      <c r="L338" s="518">
        <f t="shared" si="91"/>
        <v>18</v>
      </c>
      <c r="M338" s="519"/>
      <c r="N338" s="520"/>
      <c r="O338" s="449"/>
    </row>
    <row r="339" spans="2:15" collapsed="1">
      <c r="B339" s="219" t="s">
        <v>1408</v>
      </c>
      <c r="C339" s="15" t="s">
        <v>1409</v>
      </c>
      <c r="D339" s="184">
        <f>E339*(1+$E$8)</f>
        <v>48400.000000000007</v>
      </c>
      <c r="E339" s="184">
        <v>44000</v>
      </c>
      <c r="F339" s="174">
        <f>H342</f>
        <v>15000.176956396936</v>
      </c>
      <c r="G339" s="489">
        <f>I342</f>
        <v>16006.176956396936</v>
      </c>
      <c r="H339" s="500">
        <f>F339/E339</f>
        <v>0.34091311264538487</v>
      </c>
      <c r="I339" s="500">
        <f>G339/E339</f>
        <v>0.36377674900902124</v>
      </c>
      <c r="J339" s="501">
        <f>VLOOKUP(B339,'SALES MIX'!B14:J104,4)</f>
        <v>0</v>
      </c>
      <c r="K339" s="501">
        <f>VLOOKUP(B339,'SALES MIX'!B14:J104,5)</f>
        <v>0</v>
      </c>
      <c r="L339" s="221" t="e">
        <f>((F339*J339)+(G339*K339))/((J339+K339)*E339)</f>
        <v>#DIV/0!</v>
      </c>
      <c r="M339" s="493"/>
      <c r="N339" s="493"/>
      <c r="O339" s="449"/>
    </row>
    <row r="340" spans="2:15" ht="14.65" hidden="1" customHeight="1" outlineLevel="1" thickTop="1">
      <c r="B340" s="913" t="s">
        <v>608</v>
      </c>
      <c r="C340" s="914" t="s">
        <v>1305</v>
      </c>
      <c r="D340" s="915" t="s">
        <v>1306</v>
      </c>
      <c r="E340" s="915" t="s">
        <v>60</v>
      </c>
      <c r="F340" s="915" t="s">
        <v>615</v>
      </c>
      <c r="G340" s="915" t="s">
        <v>755</v>
      </c>
      <c r="H340" s="907" t="s">
        <v>1312</v>
      </c>
      <c r="I340" s="907"/>
      <c r="J340" s="907" t="s">
        <v>1319</v>
      </c>
      <c r="K340" s="907"/>
      <c r="L340" s="908" t="s">
        <v>1313</v>
      </c>
      <c r="M340" s="907" t="s">
        <v>912</v>
      </c>
      <c r="N340" s="917"/>
      <c r="O340" s="449"/>
    </row>
    <row r="341" spans="2:15" ht="14.65" hidden="1" customHeight="1" outlineLevel="1" thickBot="1">
      <c r="B341" s="894"/>
      <c r="C341" s="896"/>
      <c r="D341" s="898"/>
      <c r="E341" s="898"/>
      <c r="F341" s="898"/>
      <c r="G341" s="898"/>
      <c r="H341" s="502" t="s">
        <v>1309</v>
      </c>
      <c r="I341" s="502" t="s">
        <v>1308</v>
      </c>
      <c r="J341" s="502" t="s">
        <v>1309</v>
      </c>
      <c r="K341" s="502" t="s">
        <v>1308</v>
      </c>
      <c r="L341" s="901"/>
      <c r="M341" s="903"/>
      <c r="N341" s="904"/>
      <c r="O341" s="449"/>
    </row>
    <row r="342" spans="2:15" ht="14.25" hidden="1" customHeight="1" outlineLevel="1">
      <c r="B342" s="504" t="s">
        <v>631</v>
      </c>
      <c r="C342" s="15" t="str">
        <f>IFERROR(VLOOKUP(B342,MasterSheet!$B$6:$N$150,3,),"n/a")</f>
        <v>Injected Whole Chicken (1.25kg)</v>
      </c>
      <c r="D342" s="499">
        <f>1250/9</f>
        <v>138.88888888888889</v>
      </c>
      <c r="E342" s="505" t="str">
        <f>IFERROR(VLOOKUP(B342,[4]MasterSheet!$B$6:$N$144,10,),"N/a")</f>
        <v>g</v>
      </c>
      <c r="F342" s="506">
        <f>IFERROR(VLOOKUP(B342,MasterSheet!$B$6:$N$150,11,),"N/a")</f>
        <v>34.314223999999996</v>
      </c>
      <c r="G342" s="488">
        <f>IFERROR(D342*F342,"_")</f>
        <v>4765.8644444444435</v>
      </c>
      <c r="H342" s="905">
        <f>SUM(G342:G350,G352,G356,G354)</f>
        <v>15000.176956396936</v>
      </c>
      <c r="I342" s="905">
        <f>SUM(G342:G349,G351,G352,G356,G353,G355)</f>
        <v>16006.176956396936</v>
      </c>
      <c r="J342" s="491">
        <f>D342*$J$339</f>
        <v>0</v>
      </c>
      <c r="K342" s="501">
        <f>D342*$K$339</f>
        <v>0</v>
      </c>
      <c r="L342" s="501">
        <f>SUM(J342:K342)</f>
        <v>0</v>
      </c>
      <c r="M342" s="493"/>
      <c r="N342" s="507"/>
      <c r="O342" s="449"/>
    </row>
    <row r="343" spans="2:15" ht="14.25" hidden="1" customHeight="1" outlineLevel="1">
      <c r="B343" s="508" t="s">
        <v>758</v>
      </c>
      <c r="C343" s="15" t="str">
        <f>IFERROR(VLOOKUP(B343,MasterSheet!$B$6:$N$150,3,),"n/a")</f>
        <v>Honey pepper Sauce</v>
      </c>
      <c r="D343" s="499">
        <f>D342*11%</f>
        <v>15.277777777777777</v>
      </c>
      <c r="E343" s="505" t="str">
        <f>IFERROR(VLOOKUP(B343,[4]MasterSheet!$B$6:$N$144,10,),"N/a")</f>
        <v>g</v>
      </c>
      <c r="F343" s="506">
        <f>IFERROR(VLOOKUP(B343,MasterSheet!$B$6:$N$150,11,),"N/a")</f>
        <v>118.99739583333333</v>
      </c>
      <c r="G343" s="488">
        <f t="shared" ref="G343:G356" si="92">IFERROR(D343*F343,"_")</f>
        <v>1818.0157696759256</v>
      </c>
      <c r="H343" s="905"/>
      <c r="I343" s="905"/>
      <c r="J343" s="491">
        <f t="shared" ref="J343:J349" si="93">D343*$J$339</f>
        <v>0</v>
      </c>
      <c r="K343" s="501">
        <f t="shared" ref="K343:K349" si="94">D343*$K$339</f>
        <v>0</v>
      </c>
      <c r="L343" s="501">
        <f t="shared" ref="L343:L356" si="95">SUM(J343:K343)</f>
        <v>0</v>
      </c>
      <c r="M343" s="493"/>
      <c r="N343" s="507"/>
      <c r="O343" s="449"/>
    </row>
    <row r="344" spans="2:15" ht="14.25" hidden="1" customHeight="1" outlineLevel="1">
      <c r="B344" s="508" t="s">
        <v>999</v>
      </c>
      <c r="C344" s="15" t="str">
        <f>IFERROR(VLOOKUP(B344,MasterSheet!$B$6:$N$150,3,),"n/a")</f>
        <v>Palm Oil</v>
      </c>
      <c r="D344" s="499">
        <f>D342*0.1</f>
        <v>13.888888888888889</v>
      </c>
      <c r="E344" s="505" t="str">
        <f>IFERROR(VLOOKUP(B344,[4]MasterSheet!$B$6:$N$144,10,),"N/a")</f>
        <v>g</v>
      </c>
      <c r="F344" s="506">
        <f>IFERROR(VLOOKUP(B344,MasterSheet!$B$6:$N$150,11,),"N/a")</f>
        <v>25.580404040404041</v>
      </c>
      <c r="G344" s="488">
        <f t="shared" si="92"/>
        <v>355.28338945005612</v>
      </c>
      <c r="H344" s="905"/>
      <c r="I344" s="905"/>
      <c r="J344" s="491">
        <f t="shared" si="93"/>
        <v>0</v>
      </c>
      <c r="K344" s="501">
        <f t="shared" si="94"/>
        <v>0</v>
      </c>
      <c r="L344" s="501">
        <f t="shared" si="95"/>
        <v>0</v>
      </c>
      <c r="M344" s="493"/>
      <c r="N344" s="507"/>
      <c r="O344" s="449"/>
    </row>
    <row r="345" spans="2:15" ht="14.25" hidden="1" customHeight="1" outlineLevel="1">
      <c r="B345" s="508" t="s">
        <v>672</v>
      </c>
      <c r="C345" s="15" t="str">
        <f>IFERROR(VLOOKUP(B345,MasterSheet!$B$6:$N$150,3,),"n/a")</f>
        <v>Scallion(Green Onion)</v>
      </c>
      <c r="D345" s="499">
        <v>5</v>
      </c>
      <c r="E345" s="505" t="str">
        <f>IFERROR(VLOOKUP(B345,[4]MasterSheet!$B$6:$N$144,10,),"N/a")</f>
        <v>g</v>
      </c>
      <c r="F345" s="506">
        <f>IFERROR(VLOOKUP(B345,MasterSheet!$B$6:$N$150,11,),"N/a")</f>
        <v>27.705263157894738</v>
      </c>
      <c r="G345" s="488">
        <f t="shared" si="92"/>
        <v>138.5263157894737</v>
      </c>
      <c r="H345" s="905"/>
      <c r="I345" s="905"/>
      <c r="J345" s="491">
        <f t="shared" si="93"/>
        <v>0</v>
      </c>
      <c r="K345" s="501">
        <f t="shared" si="94"/>
        <v>0</v>
      </c>
      <c r="L345" s="501">
        <f t="shared" si="95"/>
        <v>0</v>
      </c>
      <c r="M345" s="493"/>
      <c r="N345" s="507"/>
      <c r="O345" s="449"/>
    </row>
    <row r="346" spans="2:15" ht="14.25" hidden="1" customHeight="1" outlineLevel="1">
      <c r="B346" s="508" t="s">
        <v>785</v>
      </c>
      <c r="C346" s="15" t="str">
        <f>IFERROR(VLOOKUP(B346,MasterSheet!$B$6:$N$150,3,),"n/a")</f>
        <v xml:space="preserve">Black Tea (w/water) </v>
      </c>
      <c r="D346" s="499">
        <v>250</v>
      </c>
      <c r="E346" s="505" t="str">
        <f>IFERROR(VLOOKUP(B346,[4]MasterSheet!$B$6:$N$144,10,),"N/a")</f>
        <v>g</v>
      </c>
      <c r="F346" s="506">
        <f>IFERROR(VLOOKUP(B346,MasterSheet!$B$6:$N$150,11,),"N/a")</f>
        <v>1.6818181818181819</v>
      </c>
      <c r="G346" s="488">
        <f t="shared" si="92"/>
        <v>420.4545454545455</v>
      </c>
      <c r="H346" s="905"/>
      <c r="I346" s="905"/>
      <c r="J346" s="491">
        <f t="shared" si="93"/>
        <v>0</v>
      </c>
      <c r="K346" s="501">
        <f t="shared" si="94"/>
        <v>0</v>
      </c>
      <c r="L346" s="501">
        <f t="shared" si="95"/>
        <v>0</v>
      </c>
      <c r="M346" s="493"/>
      <c r="N346" s="507"/>
      <c r="O346" s="449"/>
    </row>
    <row r="347" spans="2:15" ht="14.25" hidden="1" customHeight="1" outlineLevel="1">
      <c r="B347" s="508" t="s">
        <v>1029</v>
      </c>
      <c r="C347" s="15" t="str">
        <f>IFERROR(VLOOKUP(B347,MasterSheet!$B$6:$N$150,3,),"n/a")</f>
        <v>GIMBORI (Crispy Seaweed)</v>
      </c>
      <c r="D347" s="499">
        <v>1</v>
      </c>
      <c r="E347" s="505" t="str">
        <f>IFERROR(VLOOKUP(B347,[4]MasterSheet!$B$6:$N$144,10,),"N/a")</f>
        <v>g</v>
      </c>
      <c r="F347" s="506">
        <f>IFERROR(VLOOKUP(B347,MasterSheet!$B$6:$N$150,11,),"N/a")</f>
        <v>390.90909090909093</v>
      </c>
      <c r="G347" s="488">
        <f t="shared" si="92"/>
        <v>390.90909090909093</v>
      </c>
      <c r="H347" s="905"/>
      <c r="I347" s="905"/>
      <c r="J347" s="491">
        <f t="shared" si="93"/>
        <v>0</v>
      </c>
      <c r="K347" s="501">
        <f t="shared" si="94"/>
        <v>0</v>
      </c>
      <c r="L347" s="501">
        <f t="shared" si="95"/>
        <v>0</v>
      </c>
      <c r="M347" s="493"/>
      <c r="N347" s="507"/>
      <c r="O347" s="449"/>
    </row>
    <row r="348" spans="2:15" ht="14.25" hidden="1" customHeight="1" outlineLevel="1">
      <c r="B348" s="509" t="s">
        <v>568</v>
      </c>
      <c r="C348" s="15" t="str">
        <f>VLOOKUP(B348,CK!$B$8:$L$87,4,)</f>
        <v>Battering Powder Mix C Solution(Yellow)</v>
      </c>
      <c r="D348" s="510">
        <f>D342*0.21</f>
        <v>29.166666666666664</v>
      </c>
      <c r="E348" s="505" t="str">
        <f>VLOOKUP(B348,[4]CK!$B$8:$L$87,9,)</f>
        <v>g</v>
      </c>
      <c r="F348" s="506">
        <f>VLOOKUP(B348,CK!$B$8:$L$87,10,)</f>
        <v>23.80952380952381</v>
      </c>
      <c r="G348" s="488">
        <f t="shared" si="92"/>
        <v>694.44444444444446</v>
      </c>
      <c r="H348" s="905"/>
      <c r="I348" s="905"/>
      <c r="J348" s="491">
        <f t="shared" si="93"/>
        <v>0</v>
      </c>
      <c r="K348" s="501">
        <f t="shared" si="94"/>
        <v>0</v>
      </c>
      <c r="L348" s="501">
        <f t="shared" si="95"/>
        <v>0</v>
      </c>
      <c r="M348" s="493"/>
      <c r="N348" s="507"/>
      <c r="O348" s="449"/>
    </row>
    <row r="349" spans="2:15" ht="14.25" hidden="1" customHeight="1" outlineLevel="1">
      <c r="B349" s="509" t="s">
        <v>1397</v>
      </c>
      <c r="C349" s="15" t="str">
        <f>VLOOKUP(B349,CK!$B$8:$L$87,4,)</f>
        <v>French Fries</v>
      </c>
      <c r="D349" s="510">
        <v>100</v>
      </c>
      <c r="E349" s="505" t="str">
        <f>VLOOKUP(B349,[4]CK!$B$8:$L$87,9,)</f>
        <v>g</v>
      </c>
      <c r="F349" s="506">
        <f>VLOOKUP(B349,CK!$B$8:$L$87,10,)</f>
        <v>43.15228956228956</v>
      </c>
      <c r="G349" s="488">
        <f t="shared" si="92"/>
        <v>4315.2289562289561</v>
      </c>
      <c r="H349" s="905"/>
      <c r="I349" s="905"/>
      <c r="J349" s="491">
        <f t="shared" si="93"/>
        <v>0</v>
      </c>
      <c r="K349" s="501">
        <f t="shared" si="94"/>
        <v>0</v>
      </c>
      <c r="L349" s="501">
        <f t="shared" si="95"/>
        <v>0</v>
      </c>
      <c r="M349" s="493"/>
      <c r="N349" s="507"/>
      <c r="O349" s="449"/>
    </row>
    <row r="350" spans="2:15" ht="14.25" hidden="1" customHeight="1" outlineLevel="1">
      <c r="B350" s="523" t="s">
        <v>1341</v>
      </c>
      <c r="C350" s="15" t="str">
        <f>IFERROR(VLOOKUP(B350,MasterSheet!$B$6:$N$521,3,),"n/a")</f>
        <v>BB.Q Papertray</v>
      </c>
      <c r="D350" s="510">
        <v>1</v>
      </c>
      <c r="E350" s="505" t="str">
        <f>IFERROR(VLOOKUP(B350,[4]MasterSheet!$B$6:$N$515,10,),"N/a")</f>
        <v>ea</v>
      </c>
      <c r="F350" s="506">
        <f>IFERROR(VLOOKUP(B350,MasterSheet!$B$6:$N$521,11,),"N/a")</f>
        <v>600</v>
      </c>
      <c r="G350" s="488">
        <f t="shared" si="92"/>
        <v>600</v>
      </c>
      <c r="H350" s="905"/>
      <c r="I350" s="905"/>
      <c r="J350" s="491">
        <f>D350*$J$339</f>
        <v>0</v>
      </c>
      <c r="K350" s="501"/>
      <c r="L350" s="501">
        <f t="shared" si="95"/>
        <v>0</v>
      </c>
      <c r="M350" s="493"/>
      <c r="N350" s="507"/>
      <c r="O350" s="449"/>
    </row>
    <row r="351" spans="2:15" ht="14.25" hidden="1" customHeight="1" outlineLevel="1">
      <c r="B351" s="523" t="s">
        <v>1335</v>
      </c>
      <c r="C351" s="15" t="str">
        <f>IFERROR(VLOOKUP(B351,MasterSheet!$B$6:$N$521,3,),"n/a")</f>
        <v xml:space="preserve">BB.Q FOODPAIL M </v>
      </c>
      <c r="D351" s="510">
        <v>1</v>
      </c>
      <c r="E351" s="505" t="str">
        <f>IFERROR(VLOOKUP(B351,[4]MasterSheet!$B$6:$N$515,10,),"N/a")</f>
        <v>ea</v>
      </c>
      <c r="F351" s="506">
        <f>IFERROR(VLOOKUP(B351,MasterSheet!$B$6:$N$521,11,),"N/a")</f>
        <v>1204</v>
      </c>
      <c r="G351" s="488">
        <f t="shared" si="92"/>
        <v>1204</v>
      </c>
      <c r="H351" s="905"/>
      <c r="I351" s="905"/>
      <c r="J351" s="491"/>
      <c r="K351" s="501">
        <f>D351*$K$339</f>
        <v>0</v>
      </c>
      <c r="L351" s="501">
        <f t="shared" si="95"/>
        <v>0</v>
      </c>
      <c r="M351" s="493"/>
      <c r="N351" s="507"/>
      <c r="O351" s="449"/>
    </row>
    <row r="352" spans="2:15" ht="14.25" hidden="1" customHeight="1" outlineLevel="1">
      <c r="B352" s="523" t="s">
        <v>1365</v>
      </c>
      <c r="C352" s="15" t="str">
        <f>IFERROR(VLOOKUP(B352,MasterSheet!$B$6:$N$521,3,),"n/a")</f>
        <v>Drink Package(16oz)</v>
      </c>
      <c r="D352" s="510">
        <v>1</v>
      </c>
      <c r="E352" s="505" t="str">
        <f>IFERROR(VLOOKUP(B352,[4]MasterSheet!$B$6:$N$515,10,),"N/a")</f>
        <v>ea</v>
      </c>
      <c r="F352" s="506">
        <f>IFERROR(VLOOKUP(B352,MasterSheet!$B$6:$N$521,11,),"N/a")</f>
        <v>750</v>
      </c>
      <c r="G352" s="488">
        <f t="shared" si="92"/>
        <v>750</v>
      </c>
      <c r="H352" s="905"/>
      <c r="I352" s="905"/>
      <c r="J352" s="491">
        <f>D352*$J$339</f>
        <v>0</v>
      </c>
      <c r="K352" s="501">
        <f>D352*$K$339</f>
        <v>0</v>
      </c>
      <c r="L352" s="501">
        <f t="shared" si="95"/>
        <v>0</v>
      </c>
      <c r="M352" s="493"/>
      <c r="N352" s="507"/>
      <c r="O352" s="449"/>
    </row>
    <row r="353" spans="2:15" ht="14.25" hidden="1" customHeight="1" outlineLevel="1">
      <c r="B353" s="523" t="s">
        <v>1384</v>
      </c>
      <c r="C353" s="15" t="str">
        <f>IFERROR(VLOOKUP(B353,MasterSheet!$B$6:$N$521,3,),"n/a")</f>
        <v>DRINK PACKAGE LID(16OZ)</v>
      </c>
      <c r="D353" s="510">
        <v>1</v>
      </c>
      <c r="E353" s="505" t="str">
        <f>IFERROR(VLOOKUP(B353,[4]MasterSheet!$B$6:$N$515,10,),"N/a")</f>
        <v>ea</v>
      </c>
      <c r="F353" s="506">
        <f>IFERROR(VLOOKUP(B353,MasterSheet!$B$6:$N$521,11,),"N/a")</f>
        <v>200</v>
      </c>
      <c r="G353" s="488">
        <f t="shared" si="92"/>
        <v>200</v>
      </c>
      <c r="H353" s="905"/>
      <c r="I353" s="905"/>
      <c r="J353" s="491"/>
      <c r="K353" s="501">
        <f>D353*$K$339</f>
        <v>0</v>
      </c>
      <c r="L353" s="501">
        <f t="shared" si="95"/>
        <v>0</v>
      </c>
      <c r="M353" s="493"/>
      <c r="N353" s="507"/>
      <c r="O353" s="449"/>
    </row>
    <row r="354" spans="2:15" ht="14.25" hidden="1" customHeight="1" outlineLevel="1">
      <c r="B354" s="523" t="s">
        <v>1401</v>
      </c>
      <c r="C354" s="15" t="str">
        <f>IFERROR(VLOOKUP(B354,MasterSheet!$B$6:$N$521,3,),"n/a")</f>
        <v xml:space="preserve">BB.Q POTATO FRIES BOX (Dine-in) </v>
      </c>
      <c r="D354" s="510">
        <v>1</v>
      </c>
      <c r="E354" s="505" t="str">
        <f>IFERROR(VLOOKUP(B354,[4]MasterSheet!$B$6:$N$515,10,),"N/a")</f>
        <v>ea</v>
      </c>
      <c r="F354" s="506">
        <f>IFERROR(VLOOKUP(B354,MasterSheet!$B$6:$N$521,11,),"N/a")</f>
        <v>535</v>
      </c>
      <c r="G354" s="488">
        <f t="shared" si="92"/>
        <v>535</v>
      </c>
      <c r="H354" s="905"/>
      <c r="I354" s="905"/>
      <c r="J354" s="491">
        <f>D354*$J$339</f>
        <v>0</v>
      </c>
      <c r="K354" s="501"/>
      <c r="L354" s="501">
        <f t="shared" si="95"/>
        <v>0</v>
      </c>
      <c r="M354" s="493"/>
      <c r="N354" s="507"/>
      <c r="O354" s="449"/>
    </row>
    <row r="355" spans="2:15" ht="14.25" hidden="1" customHeight="1" outlineLevel="1">
      <c r="B355" s="523" t="s">
        <v>1396</v>
      </c>
      <c r="C355" s="15" t="str">
        <f>IFERROR(VLOOKUP(B355,MasterSheet!$B$6:$N$521,3,),"n/a")</f>
        <v>BB.Q PAPER BAG FRIES (TakeAway)</v>
      </c>
      <c r="D355" s="510">
        <v>1</v>
      </c>
      <c r="E355" s="505" t="str">
        <f>IFERROR(VLOOKUP(B355,[4]MasterSheet!$B$6:$N$515,10,),"N/a")</f>
        <v>ea</v>
      </c>
      <c r="F355" s="506">
        <f>IFERROR(VLOOKUP(B355,MasterSheet!$B$6:$N$521,11,),"N/a")</f>
        <v>737</v>
      </c>
      <c r="G355" s="488">
        <f t="shared" si="92"/>
        <v>737</v>
      </c>
      <c r="H355" s="905"/>
      <c r="I355" s="905"/>
      <c r="J355" s="491"/>
      <c r="K355" s="501">
        <f>D355*$K$339</f>
        <v>0</v>
      </c>
      <c r="L355" s="501">
        <f t="shared" si="95"/>
        <v>0</v>
      </c>
      <c r="M355" s="493"/>
      <c r="N355" s="507"/>
      <c r="O355" s="449"/>
    </row>
    <row r="356" spans="2:15" ht="14.65" hidden="1" customHeight="1" outlineLevel="1" thickBot="1">
      <c r="B356" s="524" t="s">
        <v>1150</v>
      </c>
      <c r="C356" s="512" t="str">
        <f>IFERROR(VLOOKUP(B356,MasterSheet!$B$6:$N$421,3,),"n/a")</f>
        <v>PARCHMENT PAPER / WRAPPING RICE</v>
      </c>
      <c r="D356" s="513">
        <v>1</v>
      </c>
      <c r="E356" s="514" t="str">
        <f>IFERROR(VLOOKUP(B356,[4]MasterSheet!B144:N725,10,),"N/a")</f>
        <v>ea</v>
      </c>
      <c r="F356" s="515">
        <f>IFERROR(VLOOKUP(B356,MasterSheet!$B$6:$N$421,11,),"N/a")</f>
        <v>216.45</v>
      </c>
      <c r="G356" s="516">
        <f t="shared" si="92"/>
        <v>216.45</v>
      </c>
      <c r="H356" s="916"/>
      <c r="I356" s="916"/>
      <c r="J356" s="517">
        <f>D356*$J$339</f>
        <v>0</v>
      </c>
      <c r="K356" s="518">
        <f>D356*$K$339</f>
        <v>0</v>
      </c>
      <c r="L356" s="518">
        <f t="shared" si="95"/>
        <v>0</v>
      </c>
      <c r="M356" s="519"/>
      <c r="N356" s="520"/>
      <c r="O356" s="449"/>
    </row>
    <row r="357" spans="2:15" collapsed="1">
      <c r="B357" s="219" t="s">
        <v>1410</v>
      </c>
      <c r="C357" s="15" t="s">
        <v>1412</v>
      </c>
      <c r="D357" s="184">
        <f>E357*(1+$E$8)</f>
        <v>52800.000000000007</v>
      </c>
      <c r="E357" s="184">
        <v>48000</v>
      </c>
      <c r="F357" s="174">
        <f>H360</f>
        <v>16496.650859613088</v>
      </c>
      <c r="G357" s="489">
        <f>I360</f>
        <v>17300.650859613088</v>
      </c>
      <c r="H357" s="500">
        <f>F357/E357</f>
        <v>0.34368022624193934</v>
      </c>
      <c r="I357" s="500">
        <f>G357/E357</f>
        <v>0.36043022624193932</v>
      </c>
      <c r="J357" s="501">
        <f>VLOOKUP(B357,'SALES MIX'!B14:J104,4)</f>
        <v>1</v>
      </c>
      <c r="K357" s="501">
        <f>VLOOKUP(B357,'SALES MIX'!B14:J104,5)</f>
        <v>0</v>
      </c>
      <c r="L357" s="221">
        <f>((F357*J357)+(G357*K357))/((J357+K357)*E357)</f>
        <v>0.34368022624193934</v>
      </c>
      <c r="M357" s="493"/>
      <c r="N357" s="493"/>
      <c r="O357" s="449"/>
    </row>
    <row r="358" spans="2:15" ht="14.65" hidden="1" customHeight="1" outlineLevel="1" thickTop="1">
      <c r="B358" s="913" t="s">
        <v>608</v>
      </c>
      <c r="C358" s="914" t="s">
        <v>1305</v>
      </c>
      <c r="D358" s="915" t="s">
        <v>1306</v>
      </c>
      <c r="E358" s="915" t="s">
        <v>60</v>
      </c>
      <c r="F358" s="915" t="s">
        <v>615</v>
      </c>
      <c r="G358" s="915" t="s">
        <v>755</v>
      </c>
      <c r="H358" s="907" t="s">
        <v>1312</v>
      </c>
      <c r="I358" s="907"/>
      <c r="J358" s="907" t="s">
        <v>1319</v>
      </c>
      <c r="K358" s="907"/>
      <c r="L358" s="908" t="s">
        <v>1313</v>
      </c>
      <c r="M358" s="907" t="s">
        <v>912</v>
      </c>
      <c r="N358" s="917"/>
      <c r="O358" s="449"/>
    </row>
    <row r="359" spans="2:15" ht="14.65" hidden="1" customHeight="1" outlineLevel="1" thickBot="1">
      <c r="B359" s="894"/>
      <c r="C359" s="896"/>
      <c r="D359" s="898"/>
      <c r="E359" s="898"/>
      <c r="F359" s="898"/>
      <c r="G359" s="898"/>
      <c r="H359" s="502" t="s">
        <v>1309</v>
      </c>
      <c r="I359" s="502" t="s">
        <v>1308</v>
      </c>
      <c r="J359" s="502" t="s">
        <v>1309</v>
      </c>
      <c r="K359" s="502" t="s">
        <v>1308</v>
      </c>
      <c r="L359" s="901"/>
      <c r="M359" s="903"/>
      <c r="N359" s="904"/>
      <c r="O359" s="449"/>
    </row>
    <row r="360" spans="2:15" ht="14.25" hidden="1" customHeight="1" outlineLevel="1">
      <c r="B360" s="504" t="s">
        <v>631</v>
      </c>
      <c r="C360" s="15" t="str">
        <f>IFERROR(VLOOKUP(B360,MasterSheet!$B$6:$N$150,3,),"n/a")</f>
        <v>Injected Whole Chicken (1.25kg)</v>
      </c>
      <c r="D360" s="499">
        <f>1250/9</f>
        <v>138.88888888888889</v>
      </c>
      <c r="E360" s="505" t="str">
        <f>IFERROR(VLOOKUP(B360,[4]MasterSheet!$B$6:$N$144,10,),"N/a")</f>
        <v>g</v>
      </c>
      <c r="F360" s="506">
        <f>IFERROR(VLOOKUP(B360,MasterSheet!$B$6:$N$150,11,),"N/a")</f>
        <v>34.314223999999996</v>
      </c>
      <c r="G360" s="488">
        <f>IFERROR(D360*F360,"_")</f>
        <v>4765.8644444444435</v>
      </c>
      <c r="H360" s="905">
        <f>SUM(G360:G368,G370,G374,G372,G373)</f>
        <v>16496.650859613088</v>
      </c>
      <c r="I360" s="905">
        <f>SUM(G360:G367,G369,G370,G374,G371,G373,G372)</f>
        <v>17300.650859613088</v>
      </c>
      <c r="J360" s="491">
        <f>D360*$J$357</f>
        <v>138.88888888888889</v>
      </c>
      <c r="K360" s="501">
        <f>D360*$K$357</f>
        <v>0</v>
      </c>
      <c r="L360" s="501">
        <f>SUM(J360:K360)</f>
        <v>138.88888888888889</v>
      </c>
      <c r="M360" s="493"/>
      <c r="N360" s="507"/>
      <c r="O360" s="449"/>
    </row>
    <row r="361" spans="2:15" ht="14.25" hidden="1" customHeight="1" outlineLevel="1">
      <c r="B361" s="508" t="s">
        <v>757</v>
      </c>
      <c r="C361" s="15" t="str">
        <f>IFERROR(VLOOKUP(B361,MasterSheet!$B$6:$N$150,3,),"n/a")</f>
        <v xml:space="preserve">Marinade Powder Mix </v>
      </c>
      <c r="D361" s="499">
        <f>D360*0.012</f>
        <v>1.6666666666666667</v>
      </c>
      <c r="E361" s="505" t="str">
        <f>IFERROR(VLOOKUP(B361,[4]MasterSheet!$B$6:$N$144,10,),"N/a")</f>
        <v>g</v>
      </c>
      <c r="F361" s="506">
        <f>IFERROR(VLOOKUP(B361,MasterSheet!$B$6:$N$150,11,),"N/a")</f>
        <v>117.51275510204081</v>
      </c>
      <c r="G361" s="488">
        <f t="shared" ref="G361:G374" si="96">IFERROR(D361*F361,"_")</f>
        <v>195.8545918367347</v>
      </c>
      <c r="H361" s="905"/>
      <c r="I361" s="905"/>
      <c r="J361" s="491">
        <f t="shared" ref="J361:J373" si="97">D361*$J$357</f>
        <v>1.6666666666666667</v>
      </c>
      <c r="K361" s="501">
        <f t="shared" ref="K361:K367" si="98">D361*$K$357</f>
        <v>0</v>
      </c>
      <c r="L361" s="501">
        <f t="shared" ref="L361:L373" si="99">SUM(J361:K361)</f>
        <v>1.6666666666666667</v>
      </c>
      <c r="M361" s="493"/>
      <c r="N361" s="507"/>
      <c r="O361" s="449"/>
    </row>
    <row r="362" spans="2:15" ht="14.25" hidden="1" customHeight="1" outlineLevel="1">
      <c r="B362" s="508" t="s">
        <v>4</v>
      </c>
      <c r="C362" s="15" t="str">
        <f>IFERROR(VLOOKUP(B362,MasterSheet!$B$6:$N$150,3,),"n/a")</f>
        <v>Battering Powder Mix</v>
      </c>
      <c r="D362" s="499">
        <f>D360*0.175</f>
        <v>24.305555555555554</v>
      </c>
      <c r="E362" s="505" t="str">
        <f>IFERROR(VLOOKUP(B362,[4]MasterSheet!$B$6:$N$144,10,),"N/a")</f>
        <v>g</v>
      </c>
      <c r="F362" s="506">
        <f>IFERROR(VLOOKUP(B362,MasterSheet!$B$6:$N$150,11,),"N/a")</f>
        <v>81.617647058823536</v>
      </c>
      <c r="G362" s="488">
        <f t="shared" si="96"/>
        <v>1983.7622549019609</v>
      </c>
      <c r="H362" s="905"/>
      <c r="I362" s="905"/>
      <c r="J362" s="491">
        <f t="shared" si="97"/>
        <v>24.305555555555554</v>
      </c>
      <c r="K362" s="501">
        <f t="shared" si="98"/>
        <v>0</v>
      </c>
      <c r="L362" s="501">
        <f t="shared" si="99"/>
        <v>24.305555555555554</v>
      </c>
      <c r="M362" s="493"/>
      <c r="N362" s="507"/>
      <c r="O362" s="449"/>
    </row>
    <row r="363" spans="2:15" ht="14.25" hidden="1" customHeight="1" outlineLevel="1">
      <c r="B363" s="508" t="s">
        <v>999</v>
      </c>
      <c r="C363" s="15" t="str">
        <f>IFERROR(VLOOKUP(B363,MasterSheet!$B$6:$N$150,3,),"n/a")</f>
        <v>Palm Oil</v>
      </c>
      <c r="D363" s="499">
        <f>D360*0.1</f>
        <v>13.888888888888889</v>
      </c>
      <c r="E363" s="505" t="str">
        <f>IFERROR(VLOOKUP(B363,[4]MasterSheet!$B$6:$N$144,10,),"N/a")</f>
        <v>g</v>
      </c>
      <c r="F363" s="506">
        <f>IFERROR(VLOOKUP(B363,MasterSheet!$B$6:$N$150,11,),"N/a")</f>
        <v>25.580404040404041</v>
      </c>
      <c r="G363" s="488">
        <f t="shared" si="96"/>
        <v>355.28338945005612</v>
      </c>
      <c r="H363" s="905"/>
      <c r="I363" s="905"/>
      <c r="J363" s="491">
        <f t="shared" si="97"/>
        <v>13.888888888888889</v>
      </c>
      <c r="K363" s="501">
        <f t="shared" si="98"/>
        <v>0</v>
      </c>
      <c r="L363" s="501">
        <f t="shared" si="99"/>
        <v>13.888888888888889</v>
      </c>
      <c r="M363" s="493"/>
      <c r="N363" s="507"/>
      <c r="O363" s="449"/>
    </row>
    <row r="364" spans="2:15" ht="14.25" hidden="1" customHeight="1" outlineLevel="1">
      <c r="B364" s="508" t="s">
        <v>785</v>
      </c>
      <c r="C364" s="15" t="str">
        <f>IFERROR(VLOOKUP(B364,MasterSheet!$B$6:$N$150,3,),"n/a")</f>
        <v xml:space="preserve">Black Tea (w/water) </v>
      </c>
      <c r="D364" s="499">
        <v>250</v>
      </c>
      <c r="E364" s="505" t="str">
        <f>IFERROR(VLOOKUP(B364,[4]MasterSheet!$B$6:$N$144,10,),"N/a")</f>
        <v>g</v>
      </c>
      <c r="F364" s="506">
        <f>IFERROR(VLOOKUP(B364,MasterSheet!$B$6:$N$150,11,),"N/a")</f>
        <v>1.6818181818181819</v>
      </c>
      <c r="G364" s="488">
        <f t="shared" si="96"/>
        <v>420.4545454545455</v>
      </c>
      <c r="H364" s="905"/>
      <c r="I364" s="905"/>
      <c r="J364" s="491">
        <f t="shared" si="97"/>
        <v>250</v>
      </c>
      <c r="K364" s="501">
        <f t="shared" si="98"/>
        <v>0</v>
      </c>
      <c r="L364" s="501">
        <f t="shared" si="99"/>
        <v>250</v>
      </c>
      <c r="M364" s="493"/>
      <c r="N364" s="507"/>
      <c r="O364" s="449"/>
    </row>
    <row r="365" spans="2:15" ht="14.25" hidden="1" customHeight="1" outlineLevel="1">
      <c r="B365" s="508" t="s">
        <v>1029</v>
      </c>
      <c r="C365" s="15" t="str">
        <f>IFERROR(VLOOKUP(B365,MasterSheet!$B$6:$N$150,3,),"n/a")</f>
        <v>GIMBORI (Crispy Seaweed)</v>
      </c>
      <c r="D365" s="499">
        <v>1</v>
      </c>
      <c r="E365" s="505" t="str">
        <f>IFERROR(VLOOKUP(B365,[4]MasterSheet!$B$6:$N$144,10,),"N/a")</f>
        <v>g</v>
      </c>
      <c r="F365" s="506">
        <f>IFERROR(VLOOKUP(B365,MasterSheet!$B$6:$N$150,11,),"N/a")</f>
        <v>390.90909090909093</v>
      </c>
      <c r="G365" s="488">
        <f t="shared" si="96"/>
        <v>390.90909090909093</v>
      </c>
      <c r="H365" s="905"/>
      <c r="I365" s="905"/>
      <c r="J365" s="491">
        <f t="shared" si="97"/>
        <v>1</v>
      </c>
      <c r="K365" s="501">
        <f t="shared" si="98"/>
        <v>0</v>
      </c>
      <c r="L365" s="501">
        <f t="shared" si="99"/>
        <v>1</v>
      </c>
      <c r="M365" s="493"/>
      <c r="N365" s="507"/>
      <c r="O365" s="449"/>
    </row>
    <row r="366" spans="2:15" ht="14.25" hidden="1" customHeight="1" outlineLevel="1">
      <c r="B366" s="509" t="s">
        <v>567</v>
      </c>
      <c r="C366" s="15" t="str">
        <f>VLOOKUP(B366,CK!$B$8:$L$87,4,)</f>
        <v>Battering Powder Mix Solution(White)</v>
      </c>
      <c r="D366" s="510">
        <f>D360*0.2</f>
        <v>27.777777777777779</v>
      </c>
      <c r="E366" s="505" t="str">
        <f>VLOOKUP(B366,[4]CK!$B$8:$L$87,9,)</f>
        <v>g</v>
      </c>
      <c r="F366" s="506">
        <f>VLOOKUP(B366,CK!$B$8:$L$87,10,)</f>
        <v>30.23</v>
      </c>
      <c r="G366" s="488">
        <f t="shared" si="96"/>
        <v>839.72222222222229</v>
      </c>
      <c r="H366" s="905"/>
      <c r="I366" s="905"/>
      <c r="J366" s="491">
        <f t="shared" si="97"/>
        <v>27.777777777777779</v>
      </c>
      <c r="K366" s="501">
        <f t="shared" si="98"/>
        <v>0</v>
      </c>
      <c r="L366" s="501">
        <f t="shared" si="99"/>
        <v>27.777777777777779</v>
      </c>
      <c r="M366" s="493"/>
      <c r="N366" s="507"/>
      <c r="O366" s="449"/>
    </row>
    <row r="367" spans="2:15" ht="14.25" hidden="1" customHeight="1" outlineLevel="1">
      <c r="B367" s="509" t="s">
        <v>1413</v>
      </c>
      <c r="C367" s="15" t="str">
        <f>VLOOKUP(B367,CK!$B$8:$L$87,4,)</f>
        <v xml:space="preserve">Tteokbokki </v>
      </c>
      <c r="D367" s="510">
        <v>163</v>
      </c>
      <c r="E367" s="505" t="str">
        <f>VLOOKUP(B367,[4]CK!$B$8:$L$87,9,)</f>
        <v>g</v>
      </c>
      <c r="F367" s="506">
        <f>VLOOKUP(B367,CK!$B$8:$L$87,10,)</f>
        <v>26.910124664994086</v>
      </c>
      <c r="G367" s="488">
        <f t="shared" si="96"/>
        <v>4386.3503203940363</v>
      </c>
      <c r="H367" s="905"/>
      <c r="I367" s="905"/>
      <c r="J367" s="491">
        <f t="shared" si="97"/>
        <v>163</v>
      </c>
      <c r="K367" s="501">
        <f t="shared" si="98"/>
        <v>0</v>
      </c>
      <c r="L367" s="501">
        <f t="shared" si="99"/>
        <v>163</v>
      </c>
      <c r="M367" s="493"/>
      <c r="N367" s="507"/>
      <c r="O367" s="449"/>
    </row>
    <row r="368" spans="2:15" ht="14.25" hidden="1" customHeight="1" outlineLevel="1">
      <c r="B368" s="523" t="s">
        <v>1341</v>
      </c>
      <c r="C368" s="15" t="str">
        <f>IFERROR(VLOOKUP(B368,MasterSheet!$B$6:$N$521,3,),"n/a")</f>
        <v>BB.Q Papertray</v>
      </c>
      <c r="D368" s="510">
        <v>1</v>
      </c>
      <c r="E368" s="505" t="str">
        <f>IFERROR(VLOOKUP(B368,[4]MasterSheet!$B$6:$N$515,10,),"N/a")</f>
        <v>ea</v>
      </c>
      <c r="F368" s="506">
        <f>IFERROR(VLOOKUP(B368,MasterSheet!$B$6:$N$521,11,),"N/a")</f>
        <v>600</v>
      </c>
      <c r="G368" s="488">
        <f t="shared" si="96"/>
        <v>600</v>
      </c>
      <c r="H368" s="905"/>
      <c r="I368" s="905"/>
      <c r="J368" s="491">
        <f t="shared" si="97"/>
        <v>1</v>
      </c>
      <c r="K368" s="501"/>
      <c r="L368" s="501">
        <f t="shared" si="99"/>
        <v>1</v>
      </c>
      <c r="M368" s="493"/>
      <c r="N368" s="507"/>
      <c r="O368" s="449"/>
    </row>
    <row r="369" spans="2:15" ht="14.25" hidden="1" customHeight="1" outlineLevel="1">
      <c r="B369" s="523" t="s">
        <v>1335</v>
      </c>
      <c r="C369" s="15" t="str">
        <f>IFERROR(VLOOKUP(B369,MasterSheet!$B$6:$N$521,3,),"n/a")</f>
        <v xml:space="preserve">BB.Q FOODPAIL M </v>
      </c>
      <c r="D369" s="510">
        <v>1</v>
      </c>
      <c r="E369" s="505" t="str">
        <f>IFERROR(VLOOKUP(B369,[4]MasterSheet!$B$6:$N$515,10,),"N/a")</f>
        <v>ea</v>
      </c>
      <c r="F369" s="506">
        <f>IFERROR(VLOOKUP(B369,MasterSheet!$B$6:$N$521,11,),"N/a")</f>
        <v>1204</v>
      </c>
      <c r="G369" s="488">
        <f t="shared" si="96"/>
        <v>1204</v>
      </c>
      <c r="H369" s="905"/>
      <c r="I369" s="905"/>
      <c r="J369" s="491"/>
      <c r="K369" s="501">
        <f t="shared" ref="K369:K374" si="100">D369*$K$357</f>
        <v>0</v>
      </c>
      <c r="L369" s="501">
        <f t="shared" si="99"/>
        <v>0</v>
      </c>
      <c r="M369" s="493"/>
      <c r="N369" s="507"/>
      <c r="O369" s="449"/>
    </row>
    <row r="370" spans="2:15" ht="14.25" hidden="1" customHeight="1" outlineLevel="1">
      <c r="B370" s="523" t="s">
        <v>1365</v>
      </c>
      <c r="C370" s="15" t="str">
        <f>IFERROR(VLOOKUP(B370,MasterSheet!$B$6:$N$521,3,),"n/a")</f>
        <v>Drink Package(16oz)</v>
      </c>
      <c r="D370" s="510">
        <v>1</v>
      </c>
      <c r="E370" s="505" t="str">
        <f>IFERROR(VLOOKUP(B370,[4]MasterSheet!$B$6:$N$515,10,),"N/a")</f>
        <v>ea</v>
      </c>
      <c r="F370" s="506">
        <f>IFERROR(VLOOKUP(B370,MasterSheet!$B$6:$N$521,11,),"N/a")</f>
        <v>750</v>
      </c>
      <c r="G370" s="488">
        <f t="shared" si="96"/>
        <v>750</v>
      </c>
      <c r="H370" s="905"/>
      <c r="I370" s="905"/>
      <c r="J370" s="491">
        <f t="shared" si="97"/>
        <v>1</v>
      </c>
      <c r="K370" s="501">
        <f t="shared" si="100"/>
        <v>0</v>
      </c>
      <c r="L370" s="501">
        <f t="shared" si="99"/>
        <v>1</v>
      </c>
      <c r="M370" s="493"/>
      <c r="N370" s="507"/>
      <c r="O370" s="449"/>
    </row>
    <row r="371" spans="2:15" ht="14.25" hidden="1" customHeight="1" outlineLevel="1">
      <c r="B371" s="523" t="s">
        <v>1384</v>
      </c>
      <c r="C371" s="15" t="str">
        <f>IFERROR(VLOOKUP(B371,MasterSheet!$B$6:$N$521,3,),"n/a")</f>
        <v>DRINK PACKAGE LID(16OZ)</v>
      </c>
      <c r="D371" s="510">
        <v>1</v>
      </c>
      <c r="E371" s="505" t="str">
        <f>IFERROR(VLOOKUP(B371,[4]MasterSheet!$B$6:$N$515,10,),"N/a")</f>
        <v>ea</v>
      </c>
      <c r="F371" s="506">
        <f>IFERROR(VLOOKUP(B371,MasterSheet!$B$6:$N$521,11,),"N/a")</f>
        <v>200</v>
      </c>
      <c r="G371" s="488">
        <f t="shared" si="96"/>
        <v>200</v>
      </c>
      <c r="H371" s="905"/>
      <c r="I371" s="905"/>
      <c r="J371" s="491"/>
      <c r="K371" s="501">
        <f t="shared" si="100"/>
        <v>0</v>
      </c>
      <c r="L371" s="501">
        <f t="shared" si="99"/>
        <v>0</v>
      </c>
      <c r="M371" s="493"/>
      <c r="N371" s="507"/>
      <c r="O371" s="449"/>
    </row>
    <row r="372" spans="2:15" ht="14.25" hidden="1" customHeight="1" outlineLevel="1">
      <c r="B372" s="523" t="s">
        <v>1414</v>
      </c>
      <c r="C372" s="15" t="str">
        <f>IFERROR(VLOOKUP(B372,MasterSheet!$B$6:$N$521,3,),"n/a")</f>
        <v>PAPER BOWL PACKAGE (500ML)</v>
      </c>
      <c r="D372" s="510">
        <v>1</v>
      </c>
      <c r="E372" s="505" t="str">
        <f>IFERROR(VLOOKUP(B372,[4]MasterSheet!$B$6:$N$515,10,),"N/a")</f>
        <v>ea</v>
      </c>
      <c r="F372" s="506">
        <f>IFERROR(VLOOKUP(B372,MasterSheet!$B$6:$N$521,11,),"N/a")</f>
        <v>1164</v>
      </c>
      <c r="G372" s="488">
        <f t="shared" si="96"/>
        <v>1164</v>
      </c>
      <c r="H372" s="905"/>
      <c r="I372" s="905"/>
      <c r="J372" s="491">
        <f t="shared" si="97"/>
        <v>1</v>
      </c>
      <c r="K372" s="501">
        <f t="shared" si="100"/>
        <v>0</v>
      </c>
      <c r="L372" s="501">
        <f t="shared" si="99"/>
        <v>1</v>
      </c>
      <c r="M372" s="493"/>
      <c r="N372" s="507"/>
      <c r="O372" s="449"/>
    </row>
    <row r="373" spans="2:15" ht="14.25" hidden="1" customHeight="1" outlineLevel="1">
      <c r="B373" s="523" t="s">
        <v>1415</v>
      </c>
      <c r="C373" s="15" t="str">
        <f>IFERROR(VLOOKUP(B373,MasterSheet!$B$6:$N$521,3,),"n/a")</f>
        <v>PAPER BOWL PACKAGE (500ML) LID</v>
      </c>
      <c r="D373" s="510">
        <v>1</v>
      </c>
      <c r="E373" s="505" t="str">
        <f>IFERROR(VLOOKUP(B373,[4]MasterSheet!$B$6:$N$515,10,),"N/a")</f>
        <v>ea</v>
      </c>
      <c r="F373" s="506">
        <f>IFERROR(VLOOKUP(B373,MasterSheet!$B$6:$N$521,11,),"N/a")</f>
        <v>428</v>
      </c>
      <c r="G373" s="488">
        <f t="shared" si="96"/>
        <v>428</v>
      </c>
      <c r="H373" s="905"/>
      <c r="I373" s="905"/>
      <c r="J373" s="491">
        <f t="shared" si="97"/>
        <v>1</v>
      </c>
      <c r="K373" s="501">
        <f t="shared" si="100"/>
        <v>0</v>
      </c>
      <c r="L373" s="501">
        <f t="shared" si="99"/>
        <v>1</v>
      </c>
      <c r="M373" s="493"/>
      <c r="N373" s="507"/>
      <c r="O373" s="449"/>
    </row>
    <row r="374" spans="2:15" ht="14.65" hidden="1" customHeight="1" outlineLevel="1" thickBot="1">
      <c r="B374" s="524" t="s">
        <v>1150</v>
      </c>
      <c r="C374" s="512" t="str">
        <f>IFERROR(VLOOKUP(B374,MasterSheet!$B$6:$N$421,3,),"n/a")</f>
        <v>PARCHMENT PAPER / WRAPPING RICE</v>
      </c>
      <c r="D374" s="513">
        <v>1</v>
      </c>
      <c r="E374" s="514" t="str">
        <f>IFERROR(VLOOKUP(B374,[4]MasterSheet!B154:N745,10,),"N/a")</f>
        <v>N/a</v>
      </c>
      <c r="F374" s="515">
        <f>IFERROR(VLOOKUP(B374,MasterSheet!$B$6:$N$421,11,),"N/a")</f>
        <v>216.45</v>
      </c>
      <c r="G374" s="516">
        <f t="shared" si="96"/>
        <v>216.45</v>
      </c>
      <c r="H374" s="916"/>
      <c r="I374" s="916"/>
      <c r="J374" s="517">
        <f>D374*$J$357</f>
        <v>1</v>
      </c>
      <c r="K374" s="518">
        <f t="shared" si="100"/>
        <v>0</v>
      </c>
      <c r="L374" s="518">
        <f>SUM(J374:K374)</f>
        <v>1</v>
      </c>
      <c r="M374" s="519"/>
      <c r="N374" s="520"/>
      <c r="O374" s="449"/>
    </row>
    <row r="375" spans="2:15" collapsed="1">
      <c r="B375" s="219" t="s">
        <v>1420</v>
      </c>
      <c r="C375" s="15" t="s">
        <v>1422</v>
      </c>
      <c r="D375" s="184">
        <f>E375*(1+$E$8)</f>
        <v>56100.000000000007</v>
      </c>
      <c r="E375" s="184">
        <v>51000</v>
      </c>
      <c r="F375" s="174">
        <f>H378</f>
        <v>19327.054505446427</v>
      </c>
      <c r="G375" s="489">
        <f>I378</f>
        <v>20131.054505446427</v>
      </c>
      <c r="H375" s="500">
        <f>F375/E375</f>
        <v>0.37896185304796914</v>
      </c>
      <c r="I375" s="500">
        <f>G375/E375</f>
        <v>0.3947265589303221</v>
      </c>
      <c r="J375" s="501">
        <f>VLOOKUP(B375,'SALES MIX'!B14:J104,4)</f>
        <v>0</v>
      </c>
      <c r="K375" s="501">
        <f>VLOOKUP(B375,'SALES MIX'!B14:J104,5)</f>
        <v>0</v>
      </c>
      <c r="L375" s="221" t="str">
        <f>IFERROR(((F375*J375)+(G375*K375))/((J375+K375)*E375),"")</f>
        <v/>
      </c>
      <c r="M375" s="493"/>
      <c r="N375" s="493"/>
      <c r="O375" s="449"/>
    </row>
    <row r="376" spans="2:15" ht="14.65" hidden="1" customHeight="1" outlineLevel="1" thickTop="1">
      <c r="B376" s="913" t="s">
        <v>608</v>
      </c>
      <c r="C376" s="914" t="s">
        <v>1305</v>
      </c>
      <c r="D376" s="915" t="s">
        <v>1306</v>
      </c>
      <c r="E376" s="915" t="s">
        <v>60</v>
      </c>
      <c r="F376" s="915" t="s">
        <v>615</v>
      </c>
      <c r="G376" s="915" t="s">
        <v>755</v>
      </c>
      <c r="H376" s="907" t="s">
        <v>1312</v>
      </c>
      <c r="I376" s="907"/>
      <c r="J376" s="907" t="s">
        <v>1319</v>
      </c>
      <c r="K376" s="907"/>
      <c r="L376" s="908" t="s">
        <v>1313</v>
      </c>
      <c r="M376" s="907" t="s">
        <v>912</v>
      </c>
      <c r="N376" s="917"/>
      <c r="O376" s="449"/>
    </row>
    <row r="377" spans="2:15" ht="14.65" hidden="1" customHeight="1" outlineLevel="1" thickBot="1">
      <c r="B377" s="894"/>
      <c r="C377" s="896"/>
      <c r="D377" s="898"/>
      <c r="E377" s="898"/>
      <c r="F377" s="898"/>
      <c r="G377" s="898"/>
      <c r="H377" s="502" t="s">
        <v>1309</v>
      </c>
      <c r="I377" s="502" t="s">
        <v>1308</v>
      </c>
      <c r="J377" s="502" t="s">
        <v>1309</v>
      </c>
      <c r="K377" s="502" t="s">
        <v>1308</v>
      </c>
      <c r="L377" s="901"/>
      <c r="M377" s="903"/>
      <c r="N377" s="904"/>
      <c r="O377" s="449"/>
    </row>
    <row r="378" spans="2:15" ht="14.25" hidden="1" customHeight="1" outlineLevel="1">
      <c r="B378" s="504" t="s">
        <v>631</v>
      </c>
      <c r="C378" s="15" t="str">
        <f>IFERROR(VLOOKUP(B378,MasterSheet!$B$6:$N$150,3,),"n/a")</f>
        <v>Injected Whole Chicken (1.25kg)</v>
      </c>
      <c r="D378" s="499">
        <f>1250/9</f>
        <v>138.88888888888889</v>
      </c>
      <c r="E378" s="505" t="str">
        <f>IFERROR(VLOOKUP(B378,[4]MasterSheet!$B$6:$N$144,10,),"N/a")</f>
        <v>g</v>
      </c>
      <c r="F378" s="506">
        <f>IFERROR(VLOOKUP(B378,MasterSheet!$B$6:$N$150,11,),"N/a")</f>
        <v>34.314223999999996</v>
      </c>
      <c r="G378" s="488">
        <f>IFERROR(D378*F378,"_")</f>
        <v>4765.8644444444435</v>
      </c>
      <c r="H378" s="905">
        <f>SUM(G378:G387,G389,G393,G391,G392)</f>
        <v>19327.054505446427</v>
      </c>
      <c r="I378" s="905">
        <f>SUM(G378:G386,G388,G389,G393,G390,G392,G391)</f>
        <v>20131.054505446427</v>
      </c>
      <c r="J378" s="491">
        <f>D378*$J$375</f>
        <v>0</v>
      </c>
      <c r="K378" s="501">
        <f>D378*$K$375</f>
        <v>0</v>
      </c>
      <c r="L378" s="501">
        <f>SUM(J378:K378)</f>
        <v>0</v>
      </c>
      <c r="M378" s="493"/>
      <c r="N378" s="507"/>
      <c r="O378" s="449"/>
    </row>
    <row r="379" spans="2:15" ht="14.25" hidden="1" customHeight="1" outlineLevel="1">
      <c r="B379" s="508" t="s">
        <v>757</v>
      </c>
      <c r="C379" s="15" t="str">
        <f>IFERROR(VLOOKUP(B379,MasterSheet!$B$6:$N$150,3,),"n/a")</f>
        <v xml:space="preserve">Marinade Powder Mix </v>
      </c>
      <c r="D379" s="499">
        <f>D378*0.012</f>
        <v>1.6666666666666667</v>
      </c>
      <c r="E379" s="505" t="str">
        <f>IFERROR(VLOOKUP(B379,[4]MasterSheet!$B$6:$N$144,10,),"N/a")</f>
        <v>g</v>
      </c>
      <c r="F379" s="506">
        <f>IFERROR(VLOOKUP(B379,MasterSheet!$B$6:$N$150,11,),"N/a")</f>
        <v>117.51275510204081</v>
      </c>
      <c r="G379" s="488">
        <f t="shared" ref="G379:G393" si="101">IFERROR(D379*F379,"_")</f>
        <v>195.8545918367347</v>
      </c>
      <c r="H379" s="905"/>
      <c r="I379" s="905"/>
      <c r="J379" s="491">
        <f t="shared" ref="J379:J386" si="102">D379*$J$375</f>
        <v>0</v>
      </c>
      <c r="K379" s="501">
        <f t="shared" ref="K379:K386" si="103">D379*$K$375</f>
        <v>0</v>
      </c>
      <c r="L379" s="501">
        <f t="shared" ref="L379:L392" si="104">SUM(J379:K379)</f>
        <v>0</v>
      </c>
      <c r="M379" s="493"/>
      <c r="N379" s="507"/>
      <c r="O379" s="449"/>
    </row>
    <row r="380" spans="2:15" ht="14.25" hidden="1" customHeight="1" outlineLevel="1">
      <c r="B380" s="508" t="s">
        <v>4</v>
      </c>
      <c r="C380" s="15" t="str">
        <f>IFERROR(VLOOKUP(B380,MasterSheet!$B$6:$N$150,3,),"n/a")</f>
        <v>Battering Powder Mix</v>
      </c>
      <c r="D380" s="499">
        <f>D378*0.175</f>
        <v>24.305555555555554</v>
      </c>
      <c r="E380" s="505" t="str">
        <f>IFERROR(VLOOKUP(B380,[4]MasterSheet!$B$6:$N$144,10,),"N/a")</f>
        <v>g</v>
      </c>
      <c r="F380" s="506">
        <f>IFERROR(VLOOKUP(B380,MasterSheet!$B$6:$N$150,11,),"N/a")</f>
        <v>81.617647058823536</v>
      </c>
      <c r="G380" s="488">
        <f t="shared" si="101"/>
        <v>1983.7622549019609</v>
      </c>
      <c r="H380" s="905"/>
      <c r="I380" s="905"/>
      <c r="J380" s="491">
        <f t="shared" si="102"/>
        <v>0</v>
      </c>
      <c r="K380" s="501">
        <f t="shared" si="103"/>
        <v>0</v>
      </c>
      <c r="L380" s="501">
        <f t="shared" si="104"/>
        <v>0</v>
      </c>
      <c r="M380" s="493"/>
      <c r="N380" s="507"/>
      <c r="O380" s="449"/>
    </row>
    <row r="381" spans="2:15" ht="14.25" hidden="1" customHeight="1" outlineLevel="1">
      <c r="B381" s="508" t="s">
        <v>999</v>
      </c>
      <c r="C381" s="15" t="str">
        <f>IFERROR(VLOOKUP(B381,MasterSheet!$B$6:$N$150,3,),"n/a")</f>
        <v>Palm Oil</v>
      </c>
      <c r="D381" s="499">
        <f>D378*0.1</f>
        <v>13.888888888888889</v>
      </c>
      <c r="E381" s="505" t="str">
        <f>IFERROR(VLOOKUP(B381,[4]MasterSheet!$B$6:$N$144,10,),"N/a")</f>
        <v>g</v>
      </c>
      <c r="F381" s="506">
        <f>IFERROR(VLOOKUP(B381,MasterSheet!$B$6:$N$150,11,),"N/a")</f>
        <v>25.580404040404041</v>
      </c>
      <c r="G381" s="488">
        <f t="shared" si="101"/>
        <v>355.28338945005612</v>
      </c>
      <c r="H381" s="905"/>
      <c r="I381" s="905"/>
      <c r="J381" s="491">
        <f t="shared" si="102"/>
        <v>0</v>
      </c>
      <c r="K381" s="501">
        <f t="shared" si="103"/>
        <v>0</v>
      </c>
      <c r="L381" s="501">
        <f t="shared" si="104"/>
        <v>0</v>
      </c>
      <c r="M381" s="493"/>
      <c r="N381" s="507"/>
      <c r="O381" s="449"/>
    </row>
    <row r="382" spans="2:15" ht="14.25" hidden="1" customHeight="1" outlineLevel="1">
      <c r="B382" s="508" t="s">
        <v>725</v>
      </c>
      <c r="C382" s="15" t="str">
        <f>IFERROR(VLOOKUP(B382,MasterSheet!$B$6:$N$150,3,),"n/a")</f>
        <v>Hot Spicy Sauce</v>
      </c>
      <c r="D382" s="499">
        <f>D378*15%</f>
        <v>20.833333333333332</v>
      </c>
      <c r="E382" s="505" t="str">
        <f>IFERROR(VLOOKUP(B382,[4]MasterSheet!$B$6:$N$144,10,),"N/a")</f>
        <v>g</v>
      </c>
      <c r="F382" s="506">
        <f>IFERROR(VLOOKUP(B382,MasterSheet!$B$6:$N$150,11,),"N/a")</f>
        <v>135.85937500000003</v>
      </c>
      <c r="G382" s="488">
        <f t="shared" si="101"/>
        <v>2830.4036458333339</v>
      </c>
      <c r="H382" s="905"/>
      <c r="I382" s="905"/>
      <c r="J382" s="491">
        <f t="shared" si="102"/>
        <v>0</v>
      </c>
      <c r="K382" s="501">
        <f t="shared" si="103"/>
        <v>0</v>
      </c>
      <c r="L382" s="501">
        <f t="shared" si="104"/>
        <v>0</v>
      </c>
      <c r="M382" s="493"/>
      <c r="N382" s="507"/>
      <c r="O382" s="449"/>
    </row>
    <row r="383" spans="2:15" ht="14.25" hidden="1" customHeight="1" outlineLevel="1">
      <c r="B383" s="508" t="s">
        <v>785</v>
      </c>
      <c r="C383" s="15" t="str">
        <f>IFERROR(VLOOKUP(B383,MasterSheet!$B$6:$N$150,3,),"n/a")</f>
        <v xml:space="preserve">Black Tea (w/water) </v>
      </c>
      <c r="D383" s="499">
        <v>250</v>
      </c>
      <c r="E383" s="505" t="str">
        <f>IFERROR(VLOOKUP(B383,[4]MasterSheet!$B$6:$N$144,10,),"N/a")</f>
        <v>g</v>
      </c>
      <c r="F383" s="506">
        <f>IFERROR(VLOOKUP(B383,MasterSheet!$B$6:$N$150,11,),"N/a")</f>
        <v>1.6818181818181819</v>
      </c>
      <c r="G383" s="488">
        <f t="shared" si="101"/>
        <v>420.4545454545455</v>
      </c>
      <c r="H383" s="905"/>
      <c r="I383" s="905"/>
      <c r="J383" s="491">
        <f t="shared" si="102"/>
        <v>0</v>
      </c>
      <c r="K383" s="501">
        <f t="shared" si="103"/>
        <v>0</v>
      </c>
      <c r="L383" s="501">
        <f t="shared" si="104"/>
        <v>0</v>
      </c>
      <c r="M383" s="493"/>
      <c r="N383" s="507"/>
      <c r="O383" s="449"/>
    </row>
    <row r="384" spans="2:15" ht="14.25" hidden="1" customHeight="1" outlineLevel="1">
      <c r="B384" s="508" t="s">
        <v>1029</v>
      </c>
      <c r="C384" s="15" t="str">
        <f>IFERROR(VLOOKUP(B384,MasterSheet!$B$6:$N$150,3,),"n/a")</f>
        <v>GIMBORI (Crispy Seaweed)</v>
      </c>
      <c r="D384" s="499">
        <v>1</v>
      </c>
      <c r="E384" s="505" t="str">
        <f>IFERROR(VLOOKUP(B384,[4]MasterSheet!$B$6:$N$144,10,),"N/a")</f>
        <v>g</v>
      </c>
      <c r="F384" s="506">
        <f>IFERROR(VLOOKUP(B384,MasterSheet!$B$6:$N$150,11,),"N/a")</f>
        <v>390.90909090909093</v>
      </c>
      <c r="G384" s="488">
        <f t="shared" si="101"/>
        <v>390.90909090909093</v>
      </c>
      <c r="H384" s="905"/>
      <c r="I384" s="905"/>
      <c r="J384" s="491">
        <f t="shared" si="102"/>
        <v>0</v>
      </c>
      <c r="K384" s="501">
        <f t="shared" si="103"/>
        <v>0</v>
      </c>
      <c r="L384" s="501">
        <f t="shared" si="104"/>
        <v>0</v>
      </c>
      <c r="M384" s="493"/>
      <c r="N384" s="507"/>
      <c r="O384" s="449"/>
    </row>
    <row r="385" spans="2:15" ht="14.25" hidden="1" customHeight="1" outlineLevel="1">
      <c r="B385" s="509" t="s">
        <v>567</v>
      </c>
      <c r="C385" s="15" t="str">
        <f>VLOOKUP(B385,CK!$B$8:$L$87,4,)</f>
        <v>Battering Powder Mix Solution(White)</v>
      </c>
      <c r="D385" s="510">
        <f>D378*0.2</f>
        <v>27.777777777777779</v>
      </c>
      <c r="E385" s="505" t="str">
        <f>VLOOKUP(B385,[4]CK!$B$8:$L$87,9,)</f>
        <v>g</v>
      </c>
      <c r="F385" s="506">
        <f>VLOOKUP(B385,CK!$B$8:$L$87,10,)</f>
        <v>30.23</v>
      </c>
      <c r="G385" s="488">
        <f t="shared" si="101"/>
        <v>839.72222222222229</v>
      </c>
      <c r="H385" s="905"/>
      <c r="I385" s="905"/>
      <c r="J385" s="491">
        <f t="shared" si="102"/>
        <v>0</v>
      </c>
      <c r="K385" s="501">
        <f t="shared" si="103"/>
        <v>0</v>
      </c>
      <c r="L385" s="501">
        <f t="shared" si="104"/>
        <v>0</v>
      </c>
      <c r="M385" s="493"/>
      <c r="N385" s="507"/>
      <c r="O385" s="449"/>
    </row>
    <row r="386" spans="2:15" ht="14.25" hidden="1" customHeight="1" outlineLevel="1">
      <c r="B386" s="509" t="s">
        <v>1413</v>
      </c>
      <c r="C386" s="15" t="str">
        <f>VLOOKUP(B386,CK!$B$8:$L$87,4,)</f>
        <v xml:space="preserve">Tteokbokki </v>
      </c>
      <c r="D386" s="510">
        <v>163</v>
      </c>
      <c r="E386" s="505" t="str">
        <f>VLOOKUP(B386,[4]CK!$B$8:$L$87,9,)</f>
        <v>g</v>
      </c>
      <c r="F386" s="506">
        <f>VLOOKUP(B386,CK!$B$8:$L$87,10,)</f>
        <v>26.910124664994086</v>
      </c>
      <c r="G386" s="488">
        <f t="shared" si="101"/>
        <v>4386.3503203940363</v>
      </c>
      <c r="H386" s="905"/>
      <c r="I386" s="905"/>
      <c r="J386" s="491">
        <f t="shared" si="102"/>
        <v>0</v>
      </c>
      <c r="K386" s="501">
        <f t="shared" si="103"/>
        <v>0</v>
      </c>
      <c r="L386" s="501">
        <f t="shared" si="104"/>
        <v>0</v>
      </c>
      <c r="M386" s="493"/>
      <c r="N386" s="507"/>
      <c r="O386" s="449"/>
    </row>
    <row r="387" spans="2:15" ht="14.25" hidden="1" customHeight="1" outlineLevel="1">
      <c r="B387" s="523" t="s">
        <v>1341</v>
      </c>
      <c r="C387" s="15" t="str">
        <f>IFERROR(VLOOKUP(B387,MasterSheet!$B$6:$N$521,3,),"n/a")</f>
        <v>BB.Q Papertray</v>
      </c>
      <c r="D387" s="510">
        <v>1</v>
      </c>
      <c r="E387" s="505" t="str">
        <f>IFERROR(VLOOKUP(B387,[4]MasterSheet!$B$6:$N$515,10,),"N/a")</f>
        <v>ea</v>
      </c>
      <c r="F387" s="506">
        <f>IFERROR(VLOOKUP(B387,MasterSheet!$B$6:$N$521,11,),"N/a")</f>
        <v>600</v>
      </c>
      <c r="G387" s="488">
        <f t="shared" si="101"/>
        <v>600</v>
      </c>
      <c r="H387" s="905"/>
      <c r="I387" s="905"/>
      <c r="J387" s="491">
        <f>D387*$J$375</f>
        <v>0</v>
      </c>
      <c r="K387" s="501"/>
      <c r="L387" s="501">
        <f t="shared" si="104"/>
        <v>0</v>
      </c>
      <c r="M387" s="493"/>
      <c r="N387" s="507"/>
      <c r="O387" s="449"/>
    </row>
    <row r="388" spans="2:15" ht="14.25" hidden="1" customHeight="1" outlineLevel="1">
      <c r="B388" s="523" t="s">
        <v>1335</v>
      </c>
      <c r="C388" s="15" t="str">
        <f>IFERROR(VLOOKUP(B388,MasterSheet!$B$6:$N$521,3,),"n/a")</f>
        <v xml:space="preserve">BB.Q FOODPAIL M </v>
      </c>
      <c r="D388" s="510">
        <v>1</v>
      </c>
      <c r="E388" s="505" t="str">
        <f>IFERROR(VLOOKUP(B388,[4]MasterSheet!$B$6:$N$515,10,),"N/a")</f>
        <v>ea</v>
      </c>
      <c r="F388" s="506">
        <f>IFERROR(VLOOKUP(B388,MasterSheet!$B$6:$N$521,11,),"N/a")</f>
        <v>1204</v>
      </c>
      <c r="G388" s="488">
        <f t="shared" si="101"/>
        <v>1204</v>
      </c>
      <c r="H388" s="905"/>
      <c r="I388" s="905"/>
      <c r="J388" s="491"/>
      <c r="K388" s="501">
        <f t="shared" ref="K388:K393" si="105">D388*$K$375</f>
        <v>0</v>
      </c>
      <c r="L388" s="501">
        <f t="shared" si="104"/>
        <v>0</v>
      </c>
      <c r="M388" s="493"/>
      <c r="N388" s="507"/>
      <c r="O388" s="449"/>
    </row>
    <row r="389" spans="2:15" ht="14.25" hidden="1" customHeight="1" outlineLevel="1">
      <c r="B389" s="523" t="s">
        <v>1365</v>
      </c>
      <c r="C389" s="15" t="str">
        <f>IFERROR(VLOOKUP(B389,MasterSheet!$B$6:$N$521,3,),"n/a")</f>
        <v>Drink Package(16oz)</v>
      </c>
      <c r="D389" s="510">
        <v>1</v>
      </c>
      <c r="E389" s="505" t="str">
        <f>IFERROR(VLOOKUP(B389,[4]MasterSheet!$B$6:$N$515,10,),"N/a")</f>
        <v>ea</v>
      </c>
      <c r="F389" s="506">
        <f>IFERROR(VLOOKUP(B389,MasterSheet!$B$6:$N$521,11,),"N/a")</f>
        <v>750</v>
      </c>
      <c r="G389" s="488">
        <f t="shared" si="101"/>
        <v>750</v>
      </c>
      <c r="H389" s="905"/>
      <c r="I389" s="905"/>
      <c r="J389" s="491">
        <f>D389*$J$375</f>
        <v>0</v>
      </c>
      <c r="K389" s="501">
        <f t="shared" si="105"/>
        <v>0</v>
      </c>
      <c r="L389" s="501">
        <f t="shared" si="104"/>
        <v>0</v>
      </c>
      <c r="M389" s="493"/>
      <c r="N389" s="507"/>
      <c r="O389" s="449"/>
    </row>
    <row r="390" spans="2:15" ht="14.25" hidden="1" customHeight="1" outlineLevel="1">
      <c r="B390" s="523" t="s">
        <v>1384</v>
      </c>
      <c r="C390" s="15" t="str">
        <f>IFERROR(VLOOKUP(B390,MasterSheet!$B$6:$N$521,3,),"n/a")</f>
        <v>DRINK PACKAGE LID(16OZ)</v>
      </c>
      <c r="D390" s="510">
        <v>1</v>
      </c>
      <c r="E390" s="505" t="str">
        <f>IFERROR(VLOOKUP(B390,[4]MasterSheet!$B$6:$N$515,10,),"N/a")</f>
        <v>ea</v>
      </c>
      <c r="F390" s="506">
        <f>IFERROR(VLOOKUP(B390,MasterSheet!$B$6:$N$521,11,),"N/a")</f>
        <v>200</v>
      </c>
      <c r="G390" s="488">
        <f t="shared" si="101"/>
        <v>200</v>
      </c>
      <c r="H390" s="905"/>
      <c r="I390" s="905"/>
      <c r="J390" s="491"/>
      <c r="K390" s="501">
        <f t="shared" si="105"/>
        <v>0</v>
      </c>
      <c r="L390" s="501">
        <f t="shared" si="104"/>
        <v>0</v>
      </c>
      <c r="M390" s="493"/>
      <c r="N390" s="507"/>
      <c r="O390" s="449"/>
    </row>
    <row r="391" spans="2:15" ht="14.25" hidden="1" customHeight="1" outlineLevel="1">
      <c r="B391" s="523" t="s">
        <v>1414</v>
      </c>
      <c r="C391" s="15" t="str">
        <f>IFERROR(VLOOKUP(B391,MasterSheet!$B$6:$N$521,3,),"n/a")</f>
        <v>PAPER BOWL PACKAGE (500ML)</v>
      </c>
      <c r="D391" s="510">
        <v>1</v>
      </c>
      <c r="E391" s="505" t="str">
        <f>IFERROR(VLOOKUP(B391,[4]MasterSheet!$B$6:$N$515,10,),"N/a")</f>
        <v>ea</v>
      </c>
      <c r="F391" s="506">
        <f>IFERROR(VLOOKUP(B391,MasterSheet!$B$6:$N$521,11,),"N/a")</f>
        <v>1164</v>
      </c>
      <c r="G391" s="488">
        <f t="shared" si="101"/>
        <v>1164</v>
      </c>
      <c r="H391" s="905"/>
      <c r="I391" s="905"/>
      <c r="J391" s="491">
        <f>D391*$J$375</f>
        <v>0</v>
      </c>
      <c r="K391" s="501">
        <f t="shared" si="105"/>
        <v>0</v>
      </c>
      <c r="L391" s="501">
        <f t="shared" si="104"/>
        <v>0</v>
      </c>
      <c r="M391" s="493"/>
      <c r="N391" s="507"/>
      <c r="O391" s="449"/>
    </row>
    <row r="392" spans="2:15" ht="14.25" hidden="1" customHeight="1" outlineLevel="1">
      <c r="B392" s="523" t="s">
        <v>1415</v>
      </c>
      <c r="C392" s="15" t="str">
        <f>IFERROR(VLOOKUP(B392,MasterSheet!$B$6:$N$521,3,),"n/a")</f>
        <v>PAPER BOWL PACKAGE (500ML) LID</v>
      </c>
      <c r="D392" s="510">
        <v>1</v>
      </c>
      <c r="E392" s="505" t="str">
        <f>IFERROR(VLOOKUP(B392,[4]MasterSheet!$B$6:$N$515,10,),"N/a")</f>
        <v>ea</v>
      </c>
      <c r="F392" s="506">
        <f>IFERROR(VLOOKUP(B392,MasterSheet!$B$6:$N$521,11,),"N/a")</f>
        <v>428</v>
      </c>
      <c r="G392" s="488">
        <f t="shared" si="101"/>
        <v>428</v>
      </c>
      <c r="H392" s="905"/>
      <c r="I392" s="905"/>
      <c r="J392" s="491">
        <f>D392*$J$375</f>
        <v>0</v>
      </c>
      <c r="K392" s="501">
        <f t="shared" si="105"/>
        <v>0</v>
      </c>
      <c r="L392" s="501">
        <f t="shared" si="104"/>
        <v>0</v>
      </c>
      <c r="M392" s="493"/>
      <c r="N392" s="507"/>
      <c r="O392" s="449"/>
    </row>
    <row r="393" spans="2:15" ht="14.65" hidden="1" customHeight="1" outlineLevel="1" thickBot="1">
      <c r="B393" s="524" t="s">
        <v>1150</v>
      </c>
      <c r="C393" s="512" t="str">
        <f>IFERROR(VLOOKUP(B393,MasterSheet!$B$6:$N$421,3,),"n/a")</f>
        <v>PARCHMENT PAPER / WRAPPING RICE</v>
      </c>
      <c r="D393" s="513">
        <v>1</v>
      </c>
      <c r="E393" s="514" t="str">
        <f>IFERROR(VLOOKUP(B393,[4]MasterSheet!B170:N761,10,),"N/a")</f>
        <v>N/a</v>
      </c>
      <c r="F393" s="515">
        <f>IFERROR(VLOOKUP(B393,MasterSheet!$B$6:$N$421,11,),"N/a")</f>
        <v>216.45</v>
      </c>
      <c r="G393" s="516">
        <f t="shared" si="101"/>
        <v>216.45</v>
      </c>
      <c r="H393" s="916"/>
      <c r="I393" s="916"/>
      <c r="J393" s="517">
        <f>D393*$J$375</f>
        <v>0</v>
      </c>
      <c r="K393" s="518">
        <f t="shared" si="105"/>
        <v>0</v>
      </c>
      <c r="L393" s="518">
        <f>SUM(J393:K393)</f>
        <v>0</v>
      </c>
      <c r="M393" s="519"/>
      <c r="N393" s="520"/>
      <c r="O393" s="449"/>
    </row>
    <row r="394" spans="2:15" collapsed="1">
      <c r="B394" s="219" t="s">
        <v>1423</v>
      </c>
      <c r="C394" s="15" t="s">
        <v>1425</v>
      </c>
      <c r="D394" s="184">
        <f>E394*(1+$E$8)</f>
        <v>56100.000000000007</v>
      </c>
      <c r="E394" s="184">
        <v>51000</v>
      </c>
      <c r="F394" s="174">
        <f>H397</f>
        <v>15811.382085436753</v>
      </c>
      <c r="G394" s="489">
        <f>I397</f>
        <v>16615.382085436751</v>
      </c>
      <c r="H394" s="500">
        <f>F394/E394</f>
        <v>0.31002709971444614</v>
      </c>
      <c r="I394" s="500">
        <f>G394/E394</f>
        <v>0.32579180559679904</v>
      </c>
      <c r="J394" s="501">
        <f>VLOOKUP(B394,'SALES MIX'!B14:J104,4)</f>
        <v>0</v>
      </c>
      <c r="K394" s="501">
        <f>VLOOKUP(B394,'SALES MIX'!B14:J104,5)</f>
        <v>0</v>
      </c>
      <c r="L394" s="221" t="str">
        <f>IFERROR(((F394*J394)+(G394*K394))/((J394+K394)*E394),"")</f>
        <v/>
      </c>
      <c r="M394" s="493"/>
      <c r="N394" s="493"/>
      <c r="O394" s="449"/>
    </row>
    <row r="395" spans="2:15" ht="14.65" hidden="1" customHeight="1" outlineLevel="1" thickTop="1">
      <c r="B395" s="913" t="s">
        <v>608</v>
      </c>
      <c r="C395" s="914" t="s">
        <v>1305</v>
      </c>
      <c r="D395" s="915" t="s">
        <v>1306</v>
      </c>
      <c r="E395" s="915" t="s">
        <v>60</v>
      </c>
      <c r="F395" s="915" t="s">
        <v>615</v>
      </c>
      <c r="G395" s="915" t="s">
        <v>755</v>
      </c>
      <c r="H395" s="907" t="s">
        <v>1312</v>
      </c>
      <c r="I395" s="907"/>
      <c r="J395" s="907" t="s">
        <v>1319</v>
      </c>
      <c r="K395" s="907"/>
      <c r="L395" s="908" t="s">
        <v>1313</v>
      </c>
      <c r="M395" s="907" t="s">
        <v>912</v>
      </c>
      <c r="N395" s="917"/>
      <c r="O395" s="449"/>
    </row>
    <row r="396" spans="2:15" ht="14.65" hidden="1" customHeight="1" outlineLevel="1" thickBot="1">
      <c r="B396" s="894"/>
      <c r="C396" s="896"/>
      <c r="D396" s="898"/>
      <c r="E396" s="898"/>
      <c r="F396" s="898"/>
      <c r="G396" s="898"/>
      <c r="H396" s="502" t="s">
        <v>1309</v>
      </c>
      <c r="I396" s="502" t="s">
        <v>1308</v>
      </c>
      <c r="J396" s="502" t="s">
        <v>1309</v>
      </c>
      <c r="K396" s="502" t="s">
        <v>1308</v>
      </c>
      <c r="L396" s="901"/>
      <c r="M396" s="903"/>
      <c r="N396" s="904"/>
      <c r="O396" s="449"/>
    </row>
    <row r="397" spans="2:15" ht="14.25" hidden="1" customHeight="1" outlineLevel="1">
      <c r="B397" s="504" t="s">
        <v>631</v>
      </c>
      <c r="C397" s="15" t="str">
        <f>IFERROR(VLOOKUP(B397,MasterSheet!$B$6:$N$150,3,),"n/a")</f>
        <v>Injected Whole Chicken (1.25kg)</v>
      </c>
      <c r="D397" s="499">
        <f>1250/9</f>
        <v>138.88888888888889</v>
      </c>
      <c r="E397" s="505" t="str">
        <f>IFERROR(VLOOKUP(B397,[4]MasterSheet!$B$6:$N$144,10,),"N/a")</f>
        <v>g</v>
      </c>
      <c r="F397" s="506">
        <f>IFERROR(VLOOKUP(B397,MasterSheet!$B$6:$N$150,11,),"N/a")</f>
        <v>34.314223999999996</v>
      </c>
      <c r="G397" s="488">
        <f>IFERROR(D397*F397,"_")</f>
        <v>4765.8644444444435</v>
      </c>
      <c r="H397" s="905">
        <f>SUM(G397:G405,G407,G411,G409,G410)</f>
        <v>15811.382085436753</v>
      </c>
      <c r="I397" s="905">
        <f>SUM(G397:G404,G406,G407,G411,G408,G410,G409)</f>
        <v>16615.382085436751</v>
      </c>
      <c r="J397" s="491">
        <f>D397*$J$394</f>
        <v>0</v>
      </c>
      <c r="K397" s="501">
        <f>D397*$K$394</f>
        <v>0</v>
      </c>
      <c r="L397" s="501">
        <f>SUM(J397:K397)</f>
        <v>0</v>
      </c>
      <c r="M397" s="493"/>
      <c r="N397" s="507"/>
      <c r="O397" s="449"/>
    </row>
    <row r="398" spans="2:15" ht="14.25" hidden="1" customHeight="1" outlineLevel="1">
      <c r="B398" s="508" t="s">
        <v>690</v>
      </c>
      <c r="C398" s="15" t="str">
        <f>IFERROR(VLOOKUP(B398,MasterSheet!$B$6:$N$150,3,),"n/a")</f>
        <v xml:space="preserve">Cheese Taste Seasoning Mix </v>
      </c>
      <c r="D398" s="499">
        <f>D397*4%</f>
        <v>5.5555555555555554</v>
      </c>
      <c r="E398" s="505" t="str">
        <f>IFERROR(VLOOKUP(B398,[4]MasterSheet!$B$6:$N$144,10,),"N/a")</f>
        <v>g</v>
      </c>
      <c r="F398" s="506">
        <f>IFERROR(VLOOKUP(B398,MasterSheet!$B$6:$N$150,11,),"N/a")</f>
        <v>294.48979591836735</v>
      </c>
      <c r="G398" s="488">
        <f t="shared" ref="G398:G411" si="106">IFERROR(D398*F398,"_")</f>
        <v>1636.0544217687075</v>
      </c>
      <c r="H398" s="905"/>
      <c r="I398" s="905"/>
      <c r="J398" s="491">
        <f t="shared" ref="J398:J404" si="107">D398*$J$394</f>
        <v>0</v>
      </c>
      <c r="K398" s="501">
        <f t="shared" ref="K398:K404" si="108">D398*$K$394</f>
        <v>0</v>
      </c>
      <c r="L398" s="501">
        <f t="shared" ref="L398:L409" si="109">SUM(J398:K398)</f>
        <v>0</v>
      </c>
      <c r="M398" s="493"/>
      <c r="N398" s="507"/>
      <c r="O398" s="449"/>
    </row>
    <row r="399" spans="2:15" ht="14.25" hidden="1" customHeight="1" outlineLevel="1">
      <c r="B399" s="508" t="s">
        <v>999</v>
      </c>
      <c r="C399" s="15" t="str">
        <f>IFERROR(VLOOKUP(B399,MasterSheet!$B$6:$N$150,3,),"n/a")</f>
        <v>Palm Oil</v>
      </c>
      <c r="D399" s="499">
        <f>D397*0.1</f>
        <v>13.888888888888889</v>
      </c>
      <c r="E399" s="505" t="str">
        <f>IFERROR(VLOOKUP(B399,[4]MasterSheet!$B$6:$N$144,10,),"N/a")</f>
        <v>g</v>
      </c>
      <c r="F399" s="506">
        <f>IFERROR(VLOOKUP(B399,MasterSheet!$B$6:$N$150,11,),"N/a")</f>
        <v>25.580404040404041</v>
      </c>
      <c r="G399" s="488">
        <f t="shared" si="106"/>
        <v>355.28338945005612</v>
      </c>
      <c r="H399" s="905"/>
      <c r="I399" s="905"/>
      <c r="J399" s="491">
        <f t="shared" si="107"/>
        <v>0</v>
      </c>
      <c r="K399" s="501">
        <f t="shared" si="108"/>
        <v>0</v>
      </c>
      <c r="L399" s="501">
        <f t="shared" si="109"/>
        <v>0</v>
      </c>
      <c r="M399" s="493"/>
      <c r="N399" s="507"/>
      <c r="O399" s="449"/>
    </row>
    <row r="400" spans="2:15" ht="14.25" hidden="1" customHeight="1" outlineLevel="1">
      <c r="B400" s="508" t="s">
        <v>804</v>
      </c>
      <c r="C400" s="15" t="str">
        <f>IFERROR(VLOOKUP(B400,MasterSheet!$B$6:$N$150,3,),"n/a")</f>
        <v>Lemon</v>
      </c>
      <c r="D400" s="499">
        <v>0.1</v>
      </c>
      <c r="E400" s="505" t="str">
        <f>IFERROR(VLOOKUP(B400,[4]MasterSheet!$B$6:$N$144,10,),"N/a")</f>
        <v>ea</v>
      </c>
      <c r="F400" s="506">
        <f>IFERROR(VLOOKUP(B400,MasterSheet!$B$6:$N$150,11,),"N/a")</f>
        <v>35.714285714285715</v>
      </c>
      <c r="G400" s="488">
        <f t="shared" si="106"/>
        <v>3.5714285714285716</v>
      </c>
      <c r="H400" s="905"/>
      <c r="I400" s="905"/>
      <c r="J400" s="491">
        <f t="shared" si="107"/>
        <v>0</v>
      </c>
      <c r="K400" s="501">
        <f t="shared" si="108"/>
        <v>0</v>
      </c>
      <c r="L400" s="501">
        <f t="shared" si="109"/>
        <v>0</v>
      </c>
      <c r="M400" s="493"/>
      <c r="N400" s="507"/>
      <c r="O400" s="449"/>
    </row>
    <row r="401" spans="2:15" ht="14.25" hidden="1" customHeight="1" outlineLevel="1">
      <c r="B401" s="508" t="s">
        <v>785</v>
      </c>
      <c r="C401" s="15" t="str">
        <f>IFERROR(VLOOKUP(B401,MasterSheet!$B$6:$N$150,3,),"n/a")</f>
        <v xml:space="preserve">Black Tea (w/water) </v>
      </c>
      <c r="D401" s="499">
        <v>250</v>
      </c>
      <c r="E401" s="505" t="str">
        <f>IFERROR(VLOOKUP(B401,[4]MasterSheet!$B$6:$N$144,10,),"N/a")</f>
        <v>g</v>
      </c>
      <c r="F401" s="506">
        <f>IFERROR(VLOOKUP(B401,MasterSheet!$B$6:$N$150,11,),"N/a")</f>
        <v>1.6818181818181819</v>
      </c>
      <c r="G401" s="488">
        <f t="shared" si="106"/>
        <v>420.4545454545455</v>
      </c>
      <c r="H401" s="905"/>
      <c r="I401" s="905"/>
      <c r="J401" s="491">
        <f t="shared" si="107"/>
        <v>0</v>
      </c>
      <c r="K401" s="501">
        <f t="shared" si="108"/>
        <v>0</v>
      </c>
      <c r="L401" s="501">
        <f t="shared" si="109"/>
        <v>0</v>
      </c>
      <c r="M401" s="493"/>
      <c r="N401" s="507"/>
      <c r="O401" s="449"/>
    </row>
    <row r="402" spans="2:15" ht="14.25" hidden="1" customHeight="1" outlineLevel="1">
      <c r="B402" s="508" t="s">
        <v>1029</v>
      </c>
      <c r="C402" s="15" t="str">
        <f>IFERROR(VLOOKUP(B402,MasterSheet!$B$6:$N$150,3,),"n/a")</f>
        <v>GIMBORI (Crispy Seaweed)</v>
      </c>
      <c r="D402" s="499">
        <v>1</v>
      </c>
      <c r="E402" s="505" t="str">
        <f>IFERROR(VLOOKUP(B402,[4]MasterSheet!$B$6:$N$144,10,),"N/a")</f>
        <v>g</v>
      </c>
      <c r="F402" s="506">
        <f>IFERROR(VLOOKUP(B402,MasterSheet!$B$6:$N$150,11,),"N/a")</f>
        <v>390.90909090909093</v>
      </c>
      <c r="G402" s="488">
        <f t="shared" si="106"/>
        <v>390.90909090909093</v>
      </c>
      <c r="H402" s="905"/>
      <c r="I402" s="905"/>
      <c r="J402" s="491">
        <f t="shared" si="107"/>
        <v>0</v>
      </c>
      <c r="K402" s="501">
        <f t="shared" si="108"/>
        <v>0</v>
      </c>
      <c r="L402" s="501">
        <f t="shared" si="109"/>
        <v>0</v>
      </c>
      <c r="M402" s="493"/>
      <c r="N402" s="507"/>
      <c r="O402" s="449"/>
    </row>
    <row r="403" spans="2:15" ht="14.25" hidden="1" customHeight="1" outlineLevel="1">
      <c r="B403" s="509" t="s">
        <v>568</v>
      </c>
      <c r="C403" s="15" t="str">
        <f>VLOOKUP(B403,CK!$B$8:$L$87,4,)</f>
        <v>Battering Powder Mix C Solution(Yellow)</v>
      </c>
      <c r="D403" s="510">
        <f>D397*0.21</f>
        <v>29.166666666666664</v>
      </c>
      <c r="E403" s="505" t="str">
        <f>VLOOKUP(B403,[4]CK!$B$8:$L$87,9,)</f>
        <v>g</v>
      </c>
      <c r="F403" s="506">
        <f>VLOOKUP(B403,CK!$B$8:$L$87,10,)</f>
        <v>23.80952380952381</v>
      </c>
      <c r="G403" s="488">
        <f t="shared" si="106"/>
        <v>694.44444444444446</v>
      </c>
      <c r="H403" s="905"/>
      <c r="I403" s="905"/>
      <c r="J403" s="491">
        <f t="shared" si="107"/>
        <v>0</v>
      </c>
      <c r="K403" s="501">
        <f t="shared" si="108"/>
        <v>0</v>
      </c>
      <c r="L403" s="501">
        <f t="shared" si="109"/>
        <v>0</v>
      </c>
      <c r="M403" s="493"/>
      <c r="N403" s="507"/>
      <c r="O403" s="449"/>
    </row>
    <row r="404" spans="2:15" ht="14.25" hidden="1" customHeight="1" outlineLevel="1">
      <c r="B404" s="509" t="s">
        <v>1417</v>
      </c>
      <c r="C404" s="15" t="str">
        <f>VLOOKUP(B404,CK!$B$8:$L$87,4,)</f>
        <v xml:space="preserve">Tteokbokki </v>
      </c>
      <c r="D404" s="510">
        <v>163</v>
      </c>
      <c r="E404" s="505" t="str">
        <f>VLOOKUP(B404,[4]CK!$B$8:$L$87,9,)</f>
        <v>g</v>
      </c>
      <c r="F404" s="506">
        <f>VLOOKUP(B404,CK!$B$8:$L$87,10,)</f>
        <v>26.910124664994086</v>
      </c>
      <c r="G404" s="488">
        <f t="shared" si="106"/>
        <v>4386.3503203940363</v>
      </c>
      <c r="H404" s="905"/>
      <c r="I404" s="905"/>
      <c r="J404" s="491">
        <f t="shared" si="107"/>
        <v>0</v>
      </c>
      <c r="K404" s="501">
        <f t="shared" si="108"/>
        <v>0</v>
      </c>
      <c r="L404" s="501">
        <f t="shared" si="109"/>
        <v>0</v>
      </c>
      <c r="M404" s="493"/>
      <c r="N404" s="507"/>
      <c r="O404" s="449"/>
    </row>
    <row r="405" spans="2:15" ht="14.25" hidden="1" customHeight="1" outlineLevel="1">
      <c r="B405" s="523" t="s">
        <v>1341</v>
      </c>
      <c r="C405" s="15" t="str">
        <f>IFERROR(VLOOKUP(B405,MasterSheet!$B$6:$N$521,3,),"n/a")</f>
        <v>BB.Q Papertray</v>
      </c>
      <c r="D405" s="510">
        <v>1</v>
      </c>
      <c r="E405" s="505" t="str">
        <f>IFERROR(VLOOKUP(B405,[4]MasterSheet!$B$6:$N$515,10,),"N/a")</f>
        <v>ea</v>
      </c>
      <c r="F405" s="506">
        <f>IFERROR(VLOOKUP(B405,MasterSheet!$B$6:$N$521,11,),"N/a")</f>
        <v>600</v>
      </c>
      <c r="G405" s="488">
        <f t="shared" si="106"/>
        <v>600</v>
      </c>
      <c r="H405" s="905"/>
      <c r="I405" s="905"/>
      <c r="J405" s="491">
        <f>D405*$J$394</f>
        <v>0</v>
      </c>
      <c r="K405" s="501"/>
      <c r="L405" s="501">
        <f t="shared" si="109"/>
        <v>0</v>
      </c>
      <c r="M405" s="493"/>
      <c r="N405" s="507"/>
      <c r="O405" s="449"/>
    </row>
    <row r="406" spans="2:15" ht="14.25" hidden="1" customHeight="1" outlineLevel="1">
      <c r="B406" s="523" t="s">
        <v>1335</v>
      </c>
      <c r="C406" s="15" t="str">
        <f>IFERROR(VLOOKUP(B406,MasterSheet!$B$6:$N$521,3,),"n/a")</f>
        <v xml:space="preserve">BB.Q FOODPAIL M </v>
      </c>
      <c r="D406" s="510">
        <v>1</v>
      </c>
      <c r="E406" s="505" t="str">
        <f>IFERROR(VLOOKUP(B406,[4]MasterSheet!$B$6:$N$515,10,),"N/a")</f>
        <v>ea</v>
      </c>
      <c r="F406" s="506">
        <f>IFERROR(VLOOKUP(B406,MasterSheet!$B$6:$N$521,11,),"N/a")</f>
        <v>1204</v>
      </c>
      <c r="G406" s="488">
        <f t="shared" si="106"/>
        <v>1204</v>
      </c>
      <c r="H406" s="905"/>
      <c r="I406" s="905"/>
      <c r="J406" s="491"/>
      <c r="K406" s="501">
        <f t="shared" ref="K406:K411" si="110">D406*$K$394</f>
        <v>0</v>
      </c>
      <c r="L406" s="501">
        <f t="shared" si="109"/>
        <v>0</v>
      </c>
      <c r="M406" s="493"/>
      <c r="N406" s="507"/>
      <c r="O406" s="449"/>
    </row>
    <row r="407" spans="2:15" ht="14.25" hidden="1" customHeight="1" outlineLevel="1">
      <c r="B407" s="523" t="s">
        <v>1365</v>
      </c>
      <c r="C407" s="15" t="str">
        <f>IFERROR(VLOOKUP(B407,MasterSheet!$B$6:$N$521,3,),"n/a")</f>
        <v>Drink Package(16oz)</v>
      </c>
      <c r="D407" s="510">
        <v>1</v>
      </c>
      <c r="E407" s="505" t="str">
        <f>IFERROR(VLOOKUP(B407,[4]MasterSheet!$B$6:$N$515,10,),"N/a")</f>
        <v>ea</v>
      </c>
      <c r="F407" s="506">
        <f>IFERROR(VLOOKUP(B407,MasterSheet!$B$6:$N$521,11,),"N/a")</f>
        <v>750</v>
      </c>
      <c r="G407" s="488">
        <f t="shared" si="106"/>
        <v>750</v>
      </c>
      <c r="H407" s="905"/>
      <c r="I407" s="905"/>
      <c r="J407" s="491">
        <f>D407*$J$394</f>
        <v>0</v>
      </c>
      <c r="K407" s="501">
        <f t="shared" si="110"/>
        <v>0</v>
      </c>
      <c r="L407" s="501">
        <f t="shared" si="109"/>
        <v>0</v>
      </c>
      <c r="M407" s="493"/>
      <c r="N407" s="507"/>
      <c r="O407" s="449"/>
    </row>
    <row r="408" spans="2:15" ht="14.25" hidden="1" customHeight="1" outlineLevel="1">
      <c r="B408" s="523" t="s">
        <v>1384</v>
      </c>
      <c r="C408" s="15" t="str">
        <f>IFERROR(VLOOKUP(B408,MasterSheet!$B$6:$N$521,3,),"n/a")</f>
        <v>DRINK PACKAGE LID(16OZ)</v>
      </c>
      <c r="D408" s="510">
        <v>1</v>
      </c>
      <c r="E408" s="505" t="str">
        <f>IFERROR(VLOOKUP(B408,[4]MasterSheet!$B$6:$N$515,10,),"N/a")</f>
        <v>ea</v>
      </c>
      <c r="F408" s="506">
        <f>IFERROR(VLOOKUP(B408,MasterSheet!$B$6:$N$521,11,),"N/a")</f>
        <v>200</v>
      </c>
      <c r="G408" s="488">
        <f t="shared" si="106"/>
        <v>200</v>
      </c>
      <c r="H408" s="905"/>
      <c r="I408" s="905"/>
      <c r="J408" s="491"/>
      <c r="K408" s="501">
        <f t="shared" si="110"/>
        <v>0</v>
      </c>
      <c r="L408" s="501">
        <f t="shared" si="109"/>
        <v>0</v>
      </c>
      <c r="M408" s="493"/>
      <c r="N408" s="507"/>
      <c r="O408" s="449"/>
    </row>
    <row r="409" spans="2:15" ht="14.25" hidden="1" customHeight="1" outlineLevel="1">
      <c r="B409" s="523" t="s">
        <v>1414</v>
      </c>
      <c r="C409" s="15" t="str">
        <f>IFERROR(VLOOKUP(B409,MasterSheet!$B$6:$N$521,3,),"n/a")</f>
        <v>PAPER BOWL PACKAGE (500ML)</v>
      </c>
      <c r="D409" s="510">
        <v>1</v>
      </c>
      <c r="E409" s="505" t="str">
        <f>IFERROR(VLOOKUP(B409,[4]MasterSheet!$B$6:$N$515,10,),"N/a")</f>
        <v>ea</v>
      </c>
      <c r="F409" s="506">
        <f>IFERROR(VLOOKUP(B409,MasterSheet!$B$6:$N$521,11,),"N/a")</f>
        <v>1164</v>
      </c>
      <c r="G409" s="488">
        <f t="shared" si="106"/>
        <v>1164</v>
      </c>
      <c r="H409" s="905"/>
      <c r="I409" s="905"/>
      <c r="J409" s="491">
        <f>D409*$J$394</f>
        <v>0</v>
      </c>
      <c r="K409" s="501">
        <f t="shared" si="110"/>
        <v>0</v>
      </c>
      <c r="L409" s="501">
        <f t="shared" si="109"/>
        <v>0</v>
      </c>
      <c r="M409" s="493"/>
      <c r="N409" s="507"/>
      <c r="O409" s="449"/>
    </row>
    <row r="410" spans="2:15" ht="14.25" hidden="1" customHeight="1" outlineLevel="1">
      <c r="B410" s="523" t="s">
        <v>1415</v>
      </c>
      <c r="C410" s="15" t="str">
        <f>IFERROR(VLOOKUP(B410,MasterSheet!$B$6:$N$521,3,),"n/a")</f>
        <v>PAPER BOWL PACKAGE (500ML) LID</v>
      </c>
      <c r="D410" s="510">
        <v>1</v>
      </c>
      <c r="E410" s="505" t="str">
        <f>IFERROR(VLOOKUP(B410,[4]MasterSheet!$B$6:$N$515,10,),"N/a")</f>
        <v>ea</v>
      </c>
      <c r="F410" s="506">
        <f>IFERROR(VLOOKUP(B410,MasterSheet!$B$6:$N$521,11,),"N/a")</f>
        <v>428</v>
      </c>
      <c r="G410" s="488">
        <f t="shared" si="106"/>
        <v>428</v>
      </c>
      <c r="H410" s="905"/>
      <c r="I410" s="905"/>
      <c r="J410" s="491">
        <f>D410*$J$394</f>
        <v>0</v>
      </c>
      <c r="K410" s="501">
        <f t="shared" si="110"/>
        <v>0</v>
      </c>
      <c r="L410" s="501"/>
      <c r="M410" s="493"/>
      <c r="N410" s="507"/>
      <c r="O410" s="449"/>
    </row>
    <row r="411" spans="2:15" ht="14.65" hidden="1" customHeight="1" outlineLevel="1" thickBot="1">
      <c r="B411" s="524" t="s">
        <v>1150</v>
      </c>
      <c r="C411" s="512" t="str">
        <f>IFERROR(VLOOKUP(B411,MasterSheet!$B$6:$N$421,3,),"n/a")</f>
        <v>PARCHMENT PAPER / WRAPPING RICE</v>
      </c>
      <c r="D411" s="513">
        <v>1</v>
      </c>
      <c r="E411" s="514" t="str">
        <f>IFERROR(VLOOKUP(B411,[4]MasterSheet!B189:N780,10,),"N/a")</f>
        <v>N/a</v>
      </c>
      <c r="F411" s="515">
        <f>IFERROR(VLOOKUP(B411,MasterSheet!$B$6:$N$421,11,),"N/a")</f>
        <v>216.45</v>
      </c>
      <c r="G411" s="516">
        <f t="shared" si="106"/>
        <v>216.45</v>
      </c>
      <c r="H411" s="916"/>
      <c r="I411" s="916"/>
      <c r="J411" s="517">
        <f>D411*$J$394</f>
        <v>0</v>
      </c>
      <c r="K411" s="518">
        <f t="shared" si="110"/>
        <v>0</v>
      </c>
      <c r="L411" s="518">
        <f>SUM(J411:K411)</f>
        <v>0</v>
      </c>
      <c r="M411" s="519"/>
      <c r="N411" s="520"/>
      <c r="O411" s="449"/>
    </row>
    <row r="412" spans="2:15" collapsed="1">
      <c r="B412" s="219" t="s">
        <v>1426</v>
      </c>
      <c r="C412" s="15" t="s">
        <v>1428</v>
      </c>
      <c r="D412" s="184">
        <f>E412*(1+$E$8)</f>
        <v>56100.000000000007</v>
      </c>
      <c r="E412" s="184">
        <v>51000</v>
      </c>
      <c r="F412" s="174">
        <f>H415</f>
        <v>16321.955098732982</v>
      </c>
      <c r="G412" s="489">
        <f>I415</f>
        <v>17125.955098732982</v>
      </c>
      <c r="H412" s="500">
        <f>F412/E412</f>
        <v>0.32003833526927417</v>
      </c>
      <c r="I412" s="500">
        <f>G412/E412</f>
        <v>0.33580304115162712</v>
      </c>
      <c r="J412" s="501">
        <f>VLOOKUP(B412,'SALES MIX'!B14:J104,4)</f>
        <v>0</v>
      </c>
      <c r="K412" s="501">
        <f>VLOOKUP(B412,'SALES MIX'!B14:J104,5)</f>
        <v>0</v>
      </c>
      <c r="L412" s="221" t="str">
        <f>IFERROR(((F412*J412)+(G412*K412))/((J412+K412)*E412),"")</f>
        <v/>
      </c>
      <c r="M412" s="493"/>
      <c r="N412" s="493"/>
      <c r="O412" s="449"/>
    </row>
    <row r="413" spans="2:15" ht="14.65" hidden="1" customHeight="1" outlineLevel="1" thickTop="1">
      <c r="B413" s="913" t="s">
        <v>608</v>
      </c>
      <c r="C413" s="914" t="s">
        <v>1305</v>
      </c>
      <c r="D413" s="915" t="s">
        <v>1306</v>
      </c>
      <c r="E413" s="915" t="s">
        <v>60</v>
      </c>
      <c r="F413" s="915" t="s">
        <v>615</v>
      </c>
      <c r="G413" s="915" t="s">
        <v>755</v>
      </c>
      <c r="H413" s="907" t="s">
        <v>1312</v>
      </c>
      <c r="I413" s="907"/>
      <c r="J413" s="907" t="s">
        <v>1319</v>
      </c>
      <c r="K413" s="907"/>
      <c r="L413" s="908" t="s">
        <v>1313</v>
      </c>
      <c r="M413" s="907" t="s">
        <v>912</v>
      </c>
      <c r="N413" s="917"/>
      <c r="O413" s="449"/>
    </row>
    <row r="414" spans="2:15" ht="14.65" hidden="1" customHeight="1" outlineLevel="1" thickBot="1">
      <c r="B414" s="894"/>
      <c r="C414" s="896"/>
      <c r="D414" s="898"/>
      <c r="E414" s="898"/>
      <c r="F414" s="898"/>
      <c r="G414" s="898"/>
      <c r="H414" s="502" t="s">
        <v>1309</v>
      </c>
      <c r="I414" s="502" t="s">
        <v>1308</v>
      </c>
      <c r="J414" s="502" t="s">
        <v>1309</v>
      </c>
      <c r="K414" s="502" t="s">
        <v>1308</v>
      </c>
      <c r="L414" s="901"/>
      <c r="M414" s="903"/>
      <c r="N414" s="904"/>
      <c r="O414" s="449"/>
    </row>
    <row r="415" spans="2:15" ht="14.25" hidden="1" customHeight="1" outlineLevel="1">
      <c r="B415" s="504" t="s">
        <v>631</v>
      </c>
      <c r="C415" s="15" t="str">
        <f>IFERROR(VLOOKUP(B415,MasterSheet!$B$6:$N$150,3,),"n/a")</f>
        <v>Injected Whole Chicken (1.25kg)</v>
      </c>
      <c r="D415" s="499">
        <f>1250/9</f>
        <v>138.88888888888889</v>
      </c>
      <c r="E415" s="505" t="str">
        <f>IFERROR(VLOOKUP(B415,[4]MasterSheet!$B$6:$N$144,10,),"N/a")</f>
        <v>g</v>
      </c>
      <c r="F415" s="506">
        <f>IFERROR(VLOOKUP(B415,MasterSheet!$B$6:$N$150,11,),"N/a")</f>
        <v>34.314223999999996</v>
      </c>
      <c r="G415" s="488">
        <f>IFERROR(D415*F415,"_")</f>
        <v>4765.8644444444435</v>
      </c>
      <c r="H415" s="905">
        <f>SUM(G415:G423,G425,G429,G427,G428)</f>
        <v>16321.955098732982</v>
      </c>
      <c r="I415" s="905">
        <f>SUM(G415:G422,G424,G425,G429,G426,G428,G427)</f>
        <v>17125.955098732982</v>
      </c>
      <c r="J415" s="491">
        <f>D415*$J$412</f>
        <v>0</v>
      </c>
      <c r="K415" s="501">
        <f>D415*$K$412</f>
        <v>0</v>
      </c>
      <c r="L415" s="501">
        <f>SUM(J415:K415)</f>
        <v>0</v>
      </c>
      <c r="M415" s="493"/>
      <c r="N415" s="507"/>
      <c r="O415" s="449"/>
    </row>
    <row r="416" spans="2:15" ht="14.25" hidden="1" customHeight="1" outlineLevel="1">
      <c r="B416" s="508" t="s">
        <v>664</v>
      </c>
      <c r="C416" s="15" t="str">
        <f>IFERROR(VLOOKUP(B416,MasterSheet!$B$6:$N$150,3,),"n/a")</f>
        <v>Mala Hot Sauce</v>
      </c>
      <c r="D416" s="499">
        <f>D415*12%</f>
        <v>16.666666666666664</v>
      </c>
      <c r="E416" s="505" t="str">
        <f>IFERROR(VLOOKUP(B416,[4]MasterSheet!$B$6:$N$144,10,),"N/a")</f>
        <v>g</v>
      </c>
      <c r="F416" s="506">
        <f>IFERROR(VLOOKUP(B416,MasterSheet!$B$6:$N$150,11,),"N/a")</f>
        <v>125.26041666666667</v>
      </c>
      <c r="G416" s="488">
        <f t="shared" ref="G416:G429" si="111">IFERROR(D416*F416,"_")</f>
        <v>2087.6736111111109</v>
      </c>
      <c r="H416" s="905"/>
      <c r="I416" s="905"/>
      <c r="J416" s="491">
        <f t="shared" ref="J416:J422" si="112">D416*$J$412</f>
        <v>0</v>
      </c>
      <c r="K416" s="501">
        <f t="shared" ref="K416:K422" si="113">D416*$K$412</f>
        <v>0</v>
      </c>
      <c r="L416" s="501">
        <f t="shared" ref="L416:L429" si="114">SUM(J416:K416)</f>
        <v>0</v>
      </c>
      <c r="M416" s="493"/>
      <c r="N416" s="507"/>
      <c r="O416" s="449"/>
    </row>
    <row r="417" spans="2:15" ht="14.25" hidden="1" customHeight="1" outlineLevel="1">
      <c r="B417" s="508" t="s">
        <v>999</v>
      </c>
      <c r="C417" s="15" t="str">
        <f>IFERROR(VLOOKUP(B417,MasterSheet!$B$6:$N$150,3,),"n/a")</f>
        <v>Palm Oil</v>
      </c>
      <c r="D417" s="499">
        <f>D415*0.1</f>
        <v>13.888888888888889</v>
      </c>
      <c r="E417" s="505" t="str">
        <f>IFERROR(VLOOKUP(B417,[4]MasterSheet!$B$6:$N$144,10,),"N/a")</f>
        <v>g</v>
      </c>
      <c r="F417" s="506">
        <f>IFERROR(VLOOKUP(B417,MasterSheet!$B$6:$N$150,11,),"N/a")</f>
        <v>25.580404040404041</v>
      </c>
      <c r="G417" s="488">
        <f t="shared" si="111"/>
        <v>355.28338945005612</v>
      </c>
      <c r="H417" s="905"/>
      <c r="I417" s="905"/>
      <c r="J417" s="491">
        <f t="shared" si="112"/>
        <v>0</v>
      </c>
      <c r="K417" s="501">
        <f t="shared" si="113"/>
        <v>0</v>
      </c>
      <c r="L417" s="501">
        <f t="shared" si="114"/>
        <v>0</v>
      </c>
      <c r="M417" s="493"/>
      <c r="N417" s="507"/>
      <c r="O417" s="449"/>
    </row>
    <row r="418" spans="2:15" ht="14.25" hidden="1" customHeight="1" outlineLevel="1">
      <c r="B418" s="508" t="s">
        <v>1108</v>
      </c>
      <c r="C418" s="15" t="str">
        <f>IFERROR(VLOOKUP(B418,MasterSheet!$B$6:$N$150,3,),"n/a")</f>
        <v>Crushed Peanut</v>
      </c>
      <c r="D418" s="499">
        <v>1</v>
      </c>
      <c r="E418" s="505" t="str">
        <f>IFERROR(VLOOKUP(B418,[4]MasterSheet!$B$6:$N$144,10,),"N/a")</f>
        <v>g</v>
      </c>
      <c r="F418" s="506">
        <f>IFERROR(VLOOKUP(B418,MasterSheet!$B$6:$N$150,11,),"N/a")</f>
        <v>62.525252525252526</v>
      </c>
      <c r="G418" s="488">
        <f t="shared" si="111"/>
        <v>62.525252525252526</v>
      </c>
      <c r="H418" s="905"/>
      <c r="I418" s="905"/>
      <c r="J418" s="491">
        <f t="shared" si="112"/>
        <v>0</v>
      </c>
      <c r="K418" s="501">
        <f t="shared" si="113"/>
        <v>0</v>
      </c>
      <c r="L418" s="501">
        <f t="shared" si="114"/>
        <v>0</v>
      </c>
      <c r="M418" s="493"/>
      <c r="N418" s="507"/>
      <c r="O418" s="449"/>
    </row>
    <row r="419" spans="2:15" ht="14.25" hidden="1" customHeight="1" outlineLevel="1">
      <c r="B419" s="508" t="s">
        <v>785</v>
      </c>
      <c r="C419" s="15" t="str">
        <f>IFERROR(VLOOKUP(B419,MasterSheet!$B$6:$N$150,3,),"n/a")</f>
        <v xml:space="preserve">Black Tea (w/water) </v>
      </c>
      <c r="D419" s="499">
        <v>250</v>
      </c>
      <c r="E419" s="505" t="str">
        <f>IFERROR(VLOOKUP(B419,[4]MasterSheet!$B$6:$N$144,10,),"N/a")</f>
        <v>g</v>
      </c>
      <c r="F419" s="506">
        <f>IFERROR(VLOOKUP(B419,MasterSheet!$B$6:$N$150,11,),"N/a")</f>
        <v>1.6818181818181819</v>
      </c>
      <c r="G419" s="488">
        <f t="shared" si="111"/>
        <v>420.4545454545455</v>
      </c>
      <c r="H419" s="905"/>
      <c r="I419" s="905"/>
      <c r="J419" s="491">
        <f t="shared" si="112"/>
        <v>0</v>
      </c>
      <c r="K419" s="501">
        <f t="shared" si="113"/>
        <v>0</v>
      </c>
      <c r="L419" s="501">
        <f t="shared" si="114"/>
        <v>0</v>
      </c>
      <c r="M419" s="493"/>
      <c r="N419" s="507"/>
      <c r="O419" s="449"/>
    </row>
    <row r="420" spans="2:15" ht="14.25" hidden="1" customHeight="1" outlineLevel="1">
      <c r="B420" s="508" t="s">
        <v>1029</v>
      </c>
      <c r="C420" s="15" t="str">
        <f>IFERROR(VLOOKUP(B420,MasterSheet!$B$6:$N$150,3,),"n/a")</f>
        <v>GIMBORI (Crispy Seaweed)</v>
      </c>
      <c r="D420" s="499">
        <v>1</v>
      </c>
      <c r="E420" s="505" t="str">
        <f>IFERROR(VLOOKUP(B420,[4]MasterSheet!$B$6:$N$144,10,),"N/a")</f>
        <v>g</v>
      </c>
      <c r="F420" s="506">
        <f>IFERROR(VLOOKUP(B420,MasterSheet!$B$6:$N$150,11,),"N/a")</f>
        <v>390.90909090909093</v>
      </c>
      <c r="G420" s="488">
        <f t="shared" si="111"/>
        <v>390.90909090909093</v>
      </c>
      <c r="H420" s="905"/>
      <c r="I420" s="905"/>
      <c r="J420" s="491">
        <f t="shared" si="112"/>
        <v>0</v>
      </c>
      <c r="K420" s="501">
        <f t="shared" si="113"/>
        <v>0</v>
      </c>
      <c r="L420" s="501">
        <f t="shared" si="114"/>
        <v>0</v>
      </c>
      <c r="M420" s="493"/>
      <c r="N420" s="507"/>
      <c r="O420" s="449"/>
    </row>
    <row r="421" spans="2:15" ht="14.25" hidden="1" customHeight="1" outlineLevel="1">
      <c r="B421" s="509" t="s">
        <v>568</v>
      </c>
      <c r="C421" s="15" t="str">
        <f>VLOOKUP(B421,CK!$B$8:$L$87,4,)</f>
        <v>Battering Powder Mix C Solution(Yellow)</v>
      </c>
      <c r="D421" s="510">
        <f>D415*0.21</f>
        <v>29.166666666666664</v>
      </c>
      <c r="E421" s="505" t="str">
        <f>VLOOKUP(B421,[4]CK!$B$8:$L$87,9,)</f>
        <v>g</v>
      </c>
      <c r="F421" s="506">
        <f>VLOOKUP(B421,CK!$B$8:$L$87,10,)</f>
        <v>23.80952380952381</v>
      </c>
      <c r="G421" s="488">
        <f t="shared" si="111"/>
        <v>694.44444444444446</v>
      </c>
      <c r="H421" s="905"/>
      <c r="I421" s="905"/>
      <c r="J421" s="491">
        <f t="shared" si="112"/>
        <v>0</v>
      </c>
      <c r="K421" s="501">
        <f t="shared" si="113"/>
        <v>0</v>
      </c>
      <c r="L421" s="501">
        <f t="shared" si="114"/>
        <v>0</v>
      </c>
      <c r="M421" s="493"/>
      <c r="N421" s="507"/>
      <c r="O421" s="449"/>
    </row>
    <row r="422" spans="2:15" ht="14.25" hidden="1" customHeight="1" outlineLevel="1">
      <c r="B422" s="509" t="s">
        <v>1413</v>
      </c>
      <c r="C422" s="15" t="str">
        <f>VLOOKUP(B422,CK!$B$8:$L$87,4,)</f>
        <v xml:space="preserve">Tteokbokki </v>
      </c>
      <c r="D422" s="510">
        <v>163</v>
      </c>
      <c r="E422" s="505" t="str">
        <f>VLOOKUP(B422,[4]CK!$B$8:$L$87,9,)</f>
        <v>g</v>
      </c>
      <c r="F422" s="506">
        <f>VLOOKUP(B422,CK!$B$8:$L$87,10,)</f>
        <v>26.910124664994086</v>
      </c>
      <c r="G422" s="488">
        <f t="shared" si="111"/>
        <v>4386.3503203940363</v>
      </c>
      <c r="H422" s="905"/>
      <c r="I422" s="905"/>
      <c r="J422" s="491">
        <f t="shared" si="112"/>
        <v>0</v>
      </c>
      <c r="K422" s="501">
        <f t="shared" si="113"/>
        <v>0</v>
      </c>
      <c r="L422" s="501">
        <f t="shared" si="114"/>
        <v>0</v>
      </c>
      <c r="M422" s="493"/>
      <c r="N422" s="507"/>
      <c r="O422" s="449"/>
    </row>
    <row r="423" spans="2:15" ht="14.25" hidden="1" customHeight="1" outlineLevel="1">
      <c r="B423" s="523" t="s">
        <v>1341</v>
      </c>
      <c r="C423" s="15" t="str">
        <f>IFERROR(VLOOKUP(B423,MasterSheet!$B$6:$N$521,3,),"n/a")</f>
        <v>BB.Q Papertray</v>
      </c>
      <c r="D423" s="510">
        <v>1</v>
      </c>
      <c r="E423" s="505" t="str">
        <f>IFERROR(VLOOKUP(B423,[4]MasterSheet!$B$6:$N$515,10,),"N/a")</f>
        <v>ea</v>
      </c>
      <c r="F423" s="506">
        <f>IFERROR(VLOOKUP(B423,MasterSheet!$B$6:$N$521,11,),"N/a")</f>
        <v>600</v>
      </c>
      <c r="G423" s="488">
        <f t="shared" si="111"/>
        <v>600</v>
      </c>
      <c r="H423" s="905"/>
      <c r="I423" s="905"/>
      <c r="J423" s="491">
        <f>D423*$J$412</f>
        <v>0</v>
      </c>
      <c r="K423" s="501"/>
      <c r="L423" s="501">
        <f t="shared" si="114"/>
        <v>0</v>
      </c>
      <c r="M423" s="493"/>
      <c r="N423" s="507"/>
      <c r="O423" s="449"/>
    </row>
    <row r="424" spans="2:15" ht="14.25" hidden="1" customHeight="1" outlineLevel="1">
      <c r="B424" s="523" t="s">
        <v>1335</v>
      </c>
      <c r="C424" s="15" t="str">
        <f>IFERROR(VLOOKUP(B424,MasterSheet!$B$6:$N$521,3,),"n/a")</f>
        <v xml:space="preserve">BB.Q FOODPAIL M </v>
      </c>
      <c r="D424" s="510">
        <v>1</v>
      </c>
      <c r="E424" s="505" t="str">
        <f>IFERROR(VLOOKUP(B424,[4]MasterSheet!$B$6:$N$515,10,),"N/a")</f>
        <v>ea</v>
      </c>
      <c r="F424" s="506">
        <f>IFERROR(VLOOKUP(B424,MasterSheet!$B$6:$N$521,11,),"N/a")</f>
        <v>1204</v>
      </c>
      <c r="G424" s="488">
        <f t="shared" si="111"/>
        <v>1204</v>
      </c>
      <c r="H424" s="905"/>
      <c r="I424" s="905"/>
      <c r="J424" s="491"/>
      <c r="K424" s="501">
        <f t="shared" ref="K424:K429" si="115">D424*$K$412</f>
        <v>0</v>
      </c>
      <c r="L424" s="501">
        <f t="shared" si="114"/>
        <v>0</v>
      </c>
      <c r="M424" s="493"/>
      <c r="N424" s="507"/>
      <c r="O424" s="449"/>
    </row>
    <row r="425" spans="2:15" ht="14.25" hidden="1" customHeight="1" outlineLevel="1">
      <c r="B425" s="523" t="s">
        <v>1365</v>
      </c>
      <c r="C425" s="15" t="str">
        <f>IFERROR(VLOOKUP(B425,MasterSheet!$B$6:$N$521,3,),"n/a")</f>
        <v>Drink Package(16oz)</v>
      </c>
      <c r="D425" s="510">
        <v>1</v>
      </c>
      <c r="E425" s="505" t="str">
        <f>IFERROR(VLOOKUP(B425,[4]MasterSheet!$B$6:$N$515,10,),"N/a")</f>
        <v>ea</v>
      </c>
      <c r="F425" s="506">
        <f>IFERROR(VLOOKUP(B425,MasterSheet!$B$6:$N$521,11,),"N/a")</f>
        <v>750</v>
      </c>
      <c r="G425" s="488">
        <f t="shared" si="111"/>
        <v>750</v>
      </c>
      <c r="H425" s="905"/>
      <c r="I425" s="905"/>
      <c r="J425" s="491">
        <f>D425*$J$412</f>
        <v>0</v>
      </c>
      <c r="K425" s="501">
        <f t="shared" si="115"/>
        <v>0</v>
      </c>
      <c r="L425" s="501">
        <f t="shared" si="114"/>
        <v>0</v>
      </c>
      <c r="M425" s="493"/>
      <c r="N425" s="507"/>
      <c r="O425" s="449"/>
    </row>
    <row r="426" spans="2:15" ht="14.25" hidden="1" customHeight="1" outlineLevel="1">
      <c r="B426" s="523" t="s">
        <v>1384</v>
      </c>
      <c r="C426" s="15" t="str">
        <f>IFERROR(VLOOKUP(B426,MasterSheet!$B$6:$N$521,3,),"n/a")</f>
        <v>DRINK PACKAGE LID(16OZ)</v>
      </c>
      <c r="D426" s="510">
        <v>1</v>
      </c>
      <c r="E426" s="505" t="str">
        <f>IFERROR(VLOOKUP(B426,[4]MasterSheet!$B$6:$N$515,10,),"N/a")</f>
        <v>ea</v>
      </c>
      <c r="F426" s="506">
        <f>IFERROR(VLOOKUP(B426,MasterSheet!$B$6:$N$521,11,),"N/a")</f>
        <v>200</v>
      </c>
      <c r="G426" s="488">
        <f t="shared" si="111"/>
        <v>200</v>
      </c>
      <c r="H426" s="905"/>
      <c r="I426" s="905"/>
      <c r="J426" s="491"/>
      <c r="K426" s="501">
        <f t="shared" si="115"/>
        <v>0</v>
      </c>
      <c r="L426" s="501">
        <f t="shared" si="114"/>
        <v>0</v>
      </c>
      <c r="M426" s="493"/>
      <c r="N426" s="507"/>
      <c r="O426" s="449"/>
    </row>
    <row r="427" spans="2:15" ht="14.25" hidden="1" customHeight="1" outlineLevel="1">
      <c r="B427" s="523" t="s">
        <v>1414</v>
      </c>
      <c r="C427" s="15" t="str">
        <f>IFERROR(VLOOKUP(B427,MasterSheet!$B$6:$N$521,3,),"n/a")</f>
        <v>PAPER BOWL PACKAGE (500ML)</v>
      </c>
      <c r="D427" s="510">
        <v>1</v>
      </c>
      <c r="E427" s="505" t="str">
        <f>IFERROR(VLOOKUP(B427,[4]MasterSheet!$B$6:$N$515,10,),"N/a")</f>
        <v>ea</v>
      </c>
      <c r="F427" s="506">
        <f>IFERROR(VLOOKUP(B427,MasterSheet!$B$6:$N$521,11,),"N/a")</f>
        <v>1164</v>
      </c>
      <c r="G427" s="488">
        <f t="shared" si="111"/>
        <v>1164</v>
      </c>
      <c r="H427" s="905"/>
      <c r="I427" s="905"/>
      <c r="J427" s="491">
        <f>D427*$J$412</f>
        <v>0</v>
      </c>
      <c r="K427" s="501">
        <f t="shared" si="115"/>
        <v>0</v>
      </c>
      <c r="L427" s="501">
        <f t="shared" si="114"/>
        <v>0</v>
      </c>
      <c r="M427" s="493"/>
      <c r="N427" s="507"/>
      <c r="O427" s="449"/>
    </row>
    <row r="428" spans="2:15" ht="14.25" hidden="1" customHeight="1" outlineLevel="1">
      <c r="B428" s="523" t="s">
        <v>1415</v>
      </c>
      <c r="C428" s="15" t="str">
        <f>IFERROR(VLOOKUP(B428,MasterSheet!$B$6:$N$521,3,),"n/a")</f>
        <v>PAPER BOWL PACKAGE (500ML) LID</v>
      </c>
      <c r="D428" s="510">
        <v>1</v>
      </c>
      <c r="E428" s="505" t="str">
        <f>IFERROR(VLOOKUP(B428,[4]MasterSheet!$B$6:$N$515,10,),"N/a")</f>
        <v>ea</v>
      </c>
      <c r="F428" s="506">
        <f>IFERROR(VLOOKUP(B428,MasterSheet!$B$6:$N$521,11,),"N/a")</f>
        <v>428</v>
      </c>
      <c r="G428" s="488">
        <f t="shared" si="111"/>
        <v>428</v>
      </c>
      <c r="H428" s="905"/>
      <c r="I428" s="905"/>
      <c r="J428" s="491">
        <f>D428*$J$412</f>
        <v>0</v>
      </c>
      <c r="K428" s="501">
        <f t="shared" si="115"/>
        <v>0</v>
      </c>
      <c r="L428" s="501">
        <f t="shared" si="114"/>
        <v>0</v>
      </c>
      <c r="M428" s="493"/>
      <c r="N428" s="507"/>
      <c r="O428" s="449"/>
    </row>
    <row r="429" spans="2:15" ht="14.65" hidden="1" customHeight="1" outlineLevel="1" thickBot="1">
      <c r="B429" s="524" t="s">
        <v>1150</v>
      </c>
      <c r="C429" s="512" t="str">
        <f>IFERROR(VLOOKUP(B429,MasterSheet!$B$6:$N$421,3,),"n/a")</f>
        <v>PARCHMENT PAPER / WRAPPING RICE</v>
      </c>
      <c r="D429" s="513">
        <v>1</v>
      </c>
      <c r="E429" s="514" t="str">
        <f>IFERROR(VLOOKUP(B429,[4]MasterSheet!B207:N798,10,),"N/a")</f>
        <v>N/a</v>
      </c>
      <c r="F429" s="515">
        <f>IFERROR(VLOOKUP(B429,MasterSheet!$B$6:$N$421,11,),"N/a")</f>
        <v>216.45</v>
      </c>
      <c r="G429" s="516">
        <f t="shared" si="111"/>
        <v>216.45</v>
      </c>
      <c r="H429" s="916"/>
      <c r="I429" s="916"/>
      <c r="J429" s="517">
        <f>D429*$J$412</f>
        <v>0</v>
      </c>
      <c r="K429" s="518">
        <f t="shared" si="115"/>
        <v>0</v>
      </c>
      <c r="L429" s="518">
        <f t="shared" si="114"/>
        <v>0</v>
      </c>
      <c r="M429" s="519"/>
      <c r="N429" s="520"/>
      <c r="O429" s="449"/>
    </row>
    <row r="430" spans="2:15" collapsed="1">
      <c r="B430" s="219" t="s">
        <v>1431</v>
      </c>
      <c r="C430" s="15" t="s">
        <v>1430</v>
      </c>
      <c r="D430" s="184">
        <f>E430*(1+$E$8)</f>
        <v>56100.000000000007</v>
      </c>
      <c r="E430" s="184">
        <v>51000</v>
      </c>
      <c r="F430" s="174">
        <f>H433</f>
        <v>16075.703125879445</v>
      </c>
      <c r="G430" s="489">
        <f>I433</f>
        <v>16879.703125879445</v>
      </c>
      <c r="H430" s="500">
        <f>F430/E430</f>
        <v>0.31520986521332245</v>
      </c>
      <c r="I430" s="500">
        <f>G430/E430</f>
        <v>0.33097457109567541</v>
      </c>
      <c r="J430" s="501">
        <f>VLOOKUP(B430,'SALES MIX'!B14:J104,4)</f>
        <v>0</v>
      </c>
      <c r="K430" s="501">
        <f>VLOOKUP(B430,'SALES MIX'!B14:J104,5)</f>
        <v>0</v>
      </c>
      <c r="L430" s="221" t="str">
        <f>IFERROR(((F430*J430)+(G430*K430))/((J430+K430)*E430),"")</f>
        <v/>
      </c>
      <c r="M430" s="493"/>
      <c r="N430" s="493"/>
      <c r="O430" s="449"/>
    </row>
    <row r="431" spans="2:15" ht="14.65" hidden="1" customHeight="1" outlineLevel="1" thickTop="1">
      <c r="B431" s="913" t="s">
        <v>608</v>
      </c>
      <c r="C431" s="914" t="s">
        <v>1305</v>
      </c>
      <c r="D431" s="915" t="s">
        <v>1306</v>
      </c>
      <c r="E431" s="915" t="s">
        <v>60</v>
      </c>
      <c r="F431" s="915" t="s">
        <v>615</v>
      </c>
      <c r="G431" s="915" t="s">
        <v>755</v>
      </c>
      <c r="H431" s="907" t="s">
        <v>1312</v>
      </c>
      <c r="I431" s="907"/>
      <c r="J431" s="907" t="s">
        <v>1319</v>
      </c>
      <c r="K431" s="907"/>
      <c r="L431" s="908" t="s">
        <v>1313</v>
      </c>
      <c r="M431" s="907" t="s">
        <v>912</v>
      </c>
      <c r="N431" s="917"/>
      <c r="O431" s="449"/>
    </row>
    <row r="432" spans="2:15" ht="14.65" hidden="1" customHeight="1" outlineLevel="1" thickBot="1">
      <c r="B432" s="894"/>
      <c r="C432" s="896"/>
      <c r="D432" s="898"/>
      <c r="E432" s="898"/>
      <c r="F432" s="898"/>
      <c r="G432" s="898"/>
      <c r="H432" s="502" t="s">
        <v>1309</v>
      </c>
      <c r="I432" s="502" t="s">
        <v>1308</v>
      </c>
      <c r="J432" s="502" t="s">
        <v>1309</v>
      </c>
      <c r="K432" s="502" t="s">
        <v>1308</v>
      </c>
      <c r="L432" s="901"/>
      <c r="M432" s="903"/>
      <c r="N432" s="904"/>
      <c r="O432" s="449"/>
    </row>
    <row r="433" spans="2:15" ht="14.25" hidden="1" customHeight="1" outlineLevel="1">
      <c r="B433" s="504" t="s">
        <v>631</v>
      </c>
      <c r="C433" s="15" t="str">
        <f>IFERROR(VLOOKUP(B433,MasterSheet!$B$6:$N$150,3,),"n/a")</f>
        <v>Injected Whole Chicken (1.25kg)</v>
      </c>
      <c r="D433" s="499">
        <f>1250/9</f>
        <v>138.88888888888889</v>
      </c>
      <c r="E433" s="505" t="str">
        <f>IFERROR(VLOOKUP(B433,[4]MasterSheet!$B$6:$N$144,10,),"N/a")</f>
        <v>g</v>
      </c>
      <c r="F433" s="506">
        <f>IFERROR(VLOOKUP(B433,MasterSheet!$B$6:$N$150,11,),"N/a")</f>
        <v>34.314223999999996</v>
      </c>
      <c r="G433" s="488">
        <f>IFERROR(D433*F433,"_")</f>
        <v>4765.8644444444435</v>
      </c>
      <c r="H433" s="905">
        <f>SUM(G433:G441,G443,G447,G445,G446)</f>
        <v>16075.703125879445</v>
      </c>
      <c r="I433" s="905">
        <f>SUM(G433:G440,G442,G443,G447,G444,G446,G445)</f>
        <v>16879.703125879445</v>
      </c>
      <c r="J433" s="491">
        <f>D433*$J$430</f>
        <v>0</v>
      </c>
      <c r="K433" s="501">
        <f>D433*$K$430</f>
        <v>0</v>
      </c>
      <c r="L433" s="501">
        <f>SUM(J433:K433)</f>
        <v>0</v>
      </c>
      <c r="M433" s="493"/>
      <c r="N433" s="507"/>
      <c r="O433" s="449"/>
    </row>
    <row r="434" spans="2:15" ht="14.25" hidden="1" customHeight="1" outlineLevel="1">
      <c r="B434" s="508" t="s">
        <v>742</v>
      </c>
      <c r="C434" s="15" t="str">
        <f>IFERROR(VLOOKUP(B434,MasterSheet!$B$6:$N$150,3,),"n/a")</f>
        <v>Garlic Flavour Soy Sauce</v>
      </c>
      <c r="D434" s="499">
        <f>D433*11%</f>
        <v>15.277777777777777</v>
      </c>
      <c r="E434" s="505" t="str">
        <f>IFERROR(VLOOKUP(B434,[4]MasterSheet!$B$6:$N$144,10,),"N/a")</f>
        <v>g</v>
      </c>
      <c r="F434" s="506">
        <f>IFERROR(VLOOKUP(B434,MasterSheet!$B$6:$N$150,11,),"N/a")</f>
        <v>112.734375</v>
      </c>
      <c r="G434" s="488">
        <f t="shared" ref="G434:G447" si="116">IFERROR(D434*F434,"_")</f>
        <v>1722.3307291666665</v>
      </c>
      <c r="H434" s="905"/>
      <c r="I434" s="905"/>
      <c r="J434" s="491">
        <f t="shared" ref="J434:J439" si="117">D434*$J$430</f>
        <v>0</v>
      </c>
      <c r="K434" s="501">
        <f t="shared" ref="K434:K439" si="118">D434*$K$430</f>
        <v>0</v>
      </c>
      <c r="L434" s="501">
        <f t="shared" ref="L434:L447" si="119">SUM(J434:K434)</f>
        <v>0</v>
      </c>
      <c r="M434" s="493"/>
      <c r="N434" s="507"/>
      <c r="O434" s="449"/>
    </row>
    <row r="435" spans="2:15" ht="14.25" hidden="1" customHeight="1" outlineLevel="1">
      <c r="B435" s="508" t="s">
        <v>999</v>
      </c>
      <c r="C435" s="15" t="str">
        <f>IFERROR(VLOOKUP(B435,MasterSheet!$B$6:$N$150,3,),"n/a")</f>
        <v>Palm Oil</v>
      </c>
      <c r="D435" s="499">
        <f>D433*0.1</f>
        <v>13.888888888888889</v>
      </c>
      <c r="E435" s="505" t="str">
        <f>IFERROR(VLOOKUP(B435,[4]MasterSheet!$B$6:$N$144,10,),"N/a")</f>
        <v>g</v>
      </c>
      <c r="F435" s="506">
        <f>IFERROR(VLOOKUP(B435,MasterSheet!$B$6:$N$150,11,),"N/a")</f>
        <v>25.580404040404041</v>
      </c>
      <c r="G435" s="488">
        <f t="shared" si="116"/>
        <v>355.28338945005612</v>
      </c>
      <c r="H435" s="905"/>
      <c r="I435" s="905"/>
      <c r="J435" s="491">
        <f t="shared" si="117"/>
        <v>0</v>
      </c>
      <c r="K435" s="501">
        <f t="shared" si="118"/>
        <v>0</v>
      </c>
      <c r="L435" s="501">
        <f t="shared" si="119"/>
        <v>0</v>
      </c>
      <c r="M435" s="493"/>
      <c r="N435" s="507"/>
      <c r="O435" s="449"/>
    </row>
    <row r="436" spans="2:15" ht="14.25" hidden="1" customHeight="1" outlineLevel="1">
      <c r="B436" s="508" t="s">
        <v>1004</v>
      </c>
      <c r="C436" s="15" t="str">
        <f>IFERROR(VLOOKUP(B436,MasterSheet!$B$6:$N$150,3,),"n/a")</f>
        <v>Garlic Chip</v>
      </c>
      <c r="D436" s="499">
        <v>2</v>
      </c>
      <c r="E436" s="505" t="str">
        <f>IFERROR(VLOOKUP(B436,[4]MasterSheet!$B$6:$N$144,10,),"N/a")</f>
        <v>g</v>
      </c>
      <c r="F436" s="506">
        <f>IFERROR(VLOOKUP(B436,MasterSheet!$B$6:$N$150,11,),"N/a")</f>
        <v>90.808080808080817</v>
      </c>
      <c r="G436" s="488">
        <f t="shared" si="116"/>
        <v>181.61616161616163</v>
      </c>
      <c r="H436" s="905"/>
      <c r="I436" s="905"/>
      <c r="J436" s="491">
        <f t="shared" si="117"/>
        <v>0</v>
      </c>
      <c r="K436" s="501">
        <f t="shared" si="118"/>
        <v>0</v>
      </c>
      <c r="L436" s="501">
        <f t="shared" si="119"/>
        <v>0</v>
      </c>
      <c r="M436" s="493"/>
      <c r="N436" s="507"/>
      <c r="O436" s="449"/>
    </row>
    <row r="437" spans="2:15" ht="14.25" hidden="1" customHeight="1" outlineLevel="1">
      <c r="B437" s="508" t="s">
        <v>785</v>
      </c>
      <c r="C437" s="15" t="str">
        <f>IFERROR(VLOOKUP(B437,MasterSheet!$B$6:$N$150,3,),"n/a")</f>
        <v xml:space="preserve">Black Tea (w/water) </v>
      </c>
      <c r="D437" s="499">
        <v>250</v>
      </c>
      <c r="E437" s="505" t="str">
        <f>IFERROR(VLOOKUP(B437,[4]MasterSheet!$B$6:$N$144,10,),"N/a")</f>
        <v>g</v>
      </c>
      <c r="F437" s="506">
        <f>IFERROR(VLOOKUP(B437,MasterSheet!$B$6:$N$150,11,),"N/a")</f>
        <v>1.6818181818181819</v>
      </c>
      <c r="G437" s="488">
        <f t="shared" si="116"/>
        <v>420.4545454545455</v>
      </c>
      <c r="H437" s="905"/>
      <c r="I437" s="905"/>
      <c r="J437" s="491">
        <f t="shared" si="117"/>
        <v>0</v>
      </c>
      <c r="K437" s="501">
        <f t="shared" si="118"/>
        <v>0</v>
      </c>
      <c r="L437" s="501">
        <f t="shared" si="119"/>
        <v>0</v>
      </c>
      <c r="M437" s="493"/>
      <c r="N437" s="507"/>
      <c r="O437" s="449"/>
    </row>
    <row r="438" spans="2:15" ht="14.25" hidden="1" customHeight="1" outlineLevel="1">
      <c r="B438" s="508" t="s">
        <v>1029</v>
      </c>
      <c r="C438" s="15" t="str">
        <f>IFERROR(VLOOKUP(B438,MasterSheet!$B$6:$N$150,3,),"n/a")</f>
        <v>GIMBORI (Crispy Seaweed)</v>
      </c>
      <c r="D438" s="499">
        <v>1</v>
      </c>
      <c r="E438" s="505" t="str">
        <f>IFERROR(VLOOKUP(B438,[4]MasterSheet!$B$6:$N$144,10,),"N/a")</f>
        <v>g</v>
      </c>
      <c r="F438" s="506">
        <f>IFERROR(VLOOKUP(B438,MasterSheet!$B$6:$N$150,11,),"N/a")</f>
        <v>390.90909090909093</v>
      </c>
      <c r="G438" s="488">
        <f t="shared" si="116"/>
        <v>390.90909090909093</v>
      </c>
      <c r="H438" s="905"/>
      <c r="I438" s="905"/>
      <c r="J438" s="491">
        <f t="shared" si="117"/>
        <v>0</v>
      </c>
      <c r="K438" s="501">
        <f t="shared" si="118"/>
        <v>0</v>
      </c>
      <c r="L438" s="501">
        <f t="shared" si="119"/>
        <v>0</v>
      </c>
      <c r="M438" s="493"/>
      <c r="N438" s="507"/>
      <c r="O438" s="449"/>
    </row>
    <row r="439" spans="2:15" ht="14.25" hidden="1" customHeight="1" outlineLevel="1">
      <c r="B439" s="509" t="s">
        <v>568</v>
      </c>
      <c r="C439" s="15" t="str">
        <f>VLOOKUP(B439,CK!$B$8:$L$87,4,)</f>
        <v>Battering Powder Mix C Solution(Yellow)</v>
      </c>
      <c r="D439" s="510">
        <f>D433*0.21</f>
        <v>29.166666666666664</v>
      </c>
      <c r="E439" s="505" t="str">
        <f>VLOOKUP(B439,[4]CK!$B$8:$L$87,9,)</f>
        <v>g</v>
      </c>
      <c r="F439" s="506">
        <f>VLOOKUP(B439,CK!$B$8:$L$87,10,)</f>
        <v>23.80952380952381</v>
      </c>
      <c r="G439" s="488">
        <f t="shared" si="116"/>
        <v>694.44444444444446</v>
      </c>
      <c r="H439" s="905"/>
      <c r="I439" s="905"/>
      <c r="J439" s="491">
        <f t="shared" si="117"/>
        <v>0</v>
      </c>
      <c r="K439" s="501">
        <f t="shared" si="118"/>
        <v>0</v>
      </c>
      <c r="L439" s="501">
        <f t="shared" si="119"/>
        <v>0</v>
      </c>
      <c r="M439" s="493"/>
      <c r="N439" s="507"/>
      <c r="O439" s="449"/>
    </row>
    <row r="440" spans="2:15" ht="14.25" hidden="1" customHeight="1" outlineLevel="1">
      <c r="B440" s="509" t="s">
        <v>1413</v>
      </c>
      <c r="C440" s="15" t="str">
        <f>VLOOKUP(B440,CK!$B$8:$L$87,4,)</f>
        <v xml:space="preserve">Tteokbokki </v>
      </c>
      <c r="D440" s="510">
        <v>163</v>
      </c>
      <c r="E440" s="505" t="str">
        <f>VLOOKUP(B440,[4]CK!$B$8:$L$87,9,)</f>
        <v>g</v>
      </c>
      <c r="F440" s="506">
        <f>VLOOKUP(B440,CK!$B$8:$L$87,10,)</f>
        <v>26.910124664994086</v>
      </c>
      <c r="G440" s="488">
        <f t="shared" si="116"/>
        <v>4386.3503203940363</v>
      </c>
      <c r="H440" s="905"/>
      <c r="I440" s="905"/>
      <c r="J440" s="491">
        <f>D440*$J$430</f>
        <v>0</v>
      </c>
      <c r="K440" s="501">
        <f>D440*$K$430</f>
        <v>0</v>
      </c>
      <c r="L440" s="501">
        <f t="shared" si="119"/>
        <v>0</v>
      </c>
      <c r="M440" s="493"/>
      <c r="N440" s="507"/>
      <c r="O440" s="449"/>
    </row>
    <row r="441" spans="2:15" ht="14.25" hidden="1" customHeight="1" outlineLevel="1">
      <c r="B441" s="523" t="s">
        <v>1341</v>
      </c>
      <c r="C441" s="15" t="str">
        <f>IFERROR(VLOOKUP(B441,MasterSheet!$B$6:$N$521,3,),"n/a")</f>
        <v>BB.Q Papertray</v>
      </c>
      <c r="D441" s="510">
        <v>1</v>
      </c>
      <c r="E441" s="505" t="str">
        <f>IFERROR(VLOOKUP(B441,[4]MasterSheet!$B$6:$N$515,10,),"N/a")</f>
        <v>ea</v>
      </c>
      <c r="F441" s="506">
        <f>IFERROR(VLOOKUP(B441,MasterSheet!$B$6:$N$521,11,),"N/a")</f>
        <v>600</v>
      </c>
      <c r="G441" s="488">
        <f t="shared" si="116"/>
        <v>600</v>
      </c>
      <c r="H441" s="905"/>
      <c r="I441" s="905"/>
      <c r="J441" s="491">
        <f>D441*$J$430</f>
        <v>0</v>
      </c>
      <c r="K441" s="501"/>
      <c r="L441" s="501">
        <f t="shared" si="119"/>
        <v>0</v>
      </c>
      <c r="M441" s="493"/>
      <c r="N441" s="507"/>
      <c r="O441" s="449"/>
    </row>
    <row r="442" spans="2:15" ht="14.25" hidden="1" customHeight="1" outlineLevel="1">
      <c r="B442" s="523" t="s">
        <v>1335</v>
      </c>
      <c r="C442" s="15" t="str">
        <f>IFERROR(VLOOKUP(B442,MasterSheet!$B$6:$N$521,3,),"n/a")</f>
        <v xml:space="preserve">BB.Q FOODPAIL M </v>
      </c>
      <c r="D442" s="510">
        <v>1</v>
      </c>
      <c r="E442" s="505" t="str">
        <f>IFERROR(VLOOKUP(B442,[4]MasterSheet!$B$6:$N$515,10,),"N/a")</f>
        <v>ea</v>
      </c>
      <c r="F442" s="506">
        <f>IFERROR(VLOOKUP(B442,MasterSheet!$B$6:$N$521,11,),"N/a")</f>
        <v>1204</v>
      </c>
      <c r="G442" s="488">
        <f t="shared" si="116"/>
        <v>1204</v>
      </c>
      <c r="H442" s="905"/>
      <c r="I442" s="905"/>
      <c r="J442" s="491"/>
      <c r="K442" s="501">
        <f t="shared" ref="K442:K447" si="120">D442*$K$430</f>
        <v>0</v>
      </c>
      <c r="L442" s="501">
        <f t="shared" si="119"/>
        <v>0</v>
      </c>
      <c r="M442" s="493"/>
      <c r="N442" s="507"/>
      <c r="O442" s="449"/>
    </row>
    <row r="443" spans="2:15" ht="14.25" hidden="1" customHeight="1" outlineLevel="1">
      <c r="B443" s="523" t="s">
        <v>1365</v>
      </c>
      <c r="C443" s="15" t="str">
        <f>IFERROR(VLOOKUP(B443,MasterSheet!$B$6:$N$521,3,),"n/a")</f>
        <v>Drink Package(16oz)</v>
      </c>
      <c r="D443" s="510">
        <v>1</v>
      </c>
      <c r="E443" s="505" t="str">
        <f>IFERROR(VLOOKUP(B443,[4]MasterSheet!$B$6:$N$515,10,),"N/a")</f>
        <v>ea</v>
      </c>
      <c r="F443" s="506">
        <f>IFERROR(VLOOKUP(B443,MasterSheet!$B$6:$N$521,11,),"N/a")</f>
        <v>750</v>
      </c>
      <c r="G443" s="488">
        <f t="shared" si="116"/>
        <v>750</v>
      </c>
      <c r="H443" s="905"/>
      <c r="I443" s="905"/>
      <c r="J443" s="491">
        <f>D443*$J$430</f>
        <v>0</v>
      </c>
      <c r="K443" s="501">
        <f t="shared" si="120"/>
        <v>0</v>
      </c>
      <c r="L443" s="501">
        <f t="shared" si="119"/>
        <v>0</v>
      </c>
      <c r="M443" s="493"/>
      <c r="N443" s="507"/>
      <c r="O443" s="449"/>
    </row>
    <row r="444" spans="2:15" ht="14.25" hidden="1" customHeight="1" outlineLevel="1">
      <c r="B444" s="523" t="s">
        <v>1384</v>
      </c>
      <c r="C444" s="15" t="str">
        <f>IFERROR(VLOOKUP(B444,MasterSheet!$B$6:$N$521,3,),"n/a")</f>
        <v>DRINK PACKAGE LID(16OZ)</v>
      </c>
      <c r="D444" s="510">
        <v>1</v>
      </c>
      <c r="E444" s="505" t="str">
        <f>IFERROR(VLOOKUP(B444,[4]MasterSheet!$B$6:$N$515,10,),"N/a")</f>
        <v>ea</v>
      </c>
      <c r="F444" s="506">
        <f>IFERROR(VLOOKUP(B444,MasterSheet!$B$6:$N$521,11,),"N/a")</f>
        <v>200</v>
      </c>
      <c r="G444" s="488">
        <f t="shared" si="116"/>
        <v>200</v>
      </c>
      <c r="H444" s="905"/>
      <c r="I444" s="905"/>
      <c r="J444" s="491"/>
      <c r="K444" s="501">
        <f t="shared" si="120"/>
        <v>0</v>
      </c>
      <c r="L444" s="501">
        <f t="shared" si="119"/>
        <v>0</v>
      </c>
      <c r="M444" s="493"/>
      <c r="N444" s="507"/>
      <c r="O444" s="449"/>
    </row>
    <row r="445" spans="2:15" ht="14.25" hidden="1" customHeight="1" outlineLevel="1">
      <c r="B445" s="523" t="s">
        <v>1414</v>
      </c>
      <c r="C445" s="15" t="str">
        <f>IFERROR(VLOOKUP(B445,MasterSheet!$B$6:$N$521,3,),"n/a")</f>
        <v>PAPER BOWL PACKAGE (500ML)</v>
      </c>
      <c r="D445" s="510">
        <v>1</v>
      </c>
      <c r="E445" s="505" t="str">
        <f>IFERROR(VLOOKUP(B445,[4]MasterSheet!$B$6:$N$515,10,),"N/a")</f>
        <v>ea</v>
      </c>
      <c r="F445" s="506">
        <f>IFERROR(VLOOKUP(B445,MasterSheet!$B$6:$N$521,11,),"N/a")</f>
        <v>1164</v>
      </c>
      <c r="G445" s="488">
        <f t="shared" si="116"/>
        <v>1164</v>
      </c>
      <c r="H445" s="905"/>
      <c r="I445" s="905"/>
      <c r="J445" s="491">
        <f>D445*$J$430</f>
        <v>0</v>
      </c>
      <c r="K445" s="501">
        <f t="shared" si="120"/>
        <v>0</v>
      </c>
      <c r="L445" s="501">
        <f t="shared" si="119"/>
        <v>0</v>
      </c>
      <c r="M445" s="493"/>
      <c r="N445" s="507"/>
      <c r="O445" s="449"/>
    </row>
    <row r="446" spans="2:15" ht="14.25" hidden="1" customHeight="1" outlineLevel="1">
      <c r="B446" s="523" t="s">
        <v>1415</v>
      </c>
      <c r="C446" s="15" t="str">
        <f>IFERROR(VLOOKUP(B446,MasterSheet!$B$6:$N$521,3,),"n/a")</f>
        <v>PAPER BOWL PACKAGE (500ML) LID</v>
      </c>
      <c r="D446" s="510">
        <v>1</v>
      </c>
      <c r="E446" s="505" t="str">
        <f>IFERROR(VLOOKUP(B446,[4]MasterSheet!$B$6:$N$515,10,),"N/a")</f>
        <v>ea</v>
      </c>
      <c r="F446" s="506">
        <f>IFERROR(VLOOKUP(B446,MasterSheet!$B$6:$N$521,11,),"N/a")</f>
        <v>428</v>
      </c>
      <c r="G446" s="488">
        <f t="shared" si="116"/>
        <v>428</v>
      </c>
      <c r="H446" s="905"/>
      <c r="I446" s="905"/>
      <c r="J446" s="491">
        <f>D446*$J$430</f>
        <v>0</v>
      </c>
      <c r="K446" s="501">
        <f t="shared" si="120"/>
        <v>0</v>
      </c>
      <c r="L446" s="501">
        <f t="shared" si="119"/>
        <v>0</v>
      </c>
      <c r="M446" s="493"/>
      <c r="N446" s="507"/>
      <c r="O446" s="449"/>
    </row>
    <row r="447" spans="2:15" ht="14.65" hidden="1" customHeight="1" outlineLevel="1" thickBot="1">
      <c r="B447" s="524" t="s">
        <v>1150</v>
      </c>
      <c r="C447" s="512" t="str">
        <f>IFERROR(VLOOKUP(B447,MasterSheet!$B$6:$N$421,3,),"n/a")</f>
        <v>PARCHMENT PAPER / WRAPPING RICE</v>
      </c>
      <c r="D447" s="513">
        <v>1</v>
      </c>
      <c r="E447" s="514" t="str">
        <f>IFERROR(VLOOKUP(B447,[4]MasterSheet!B225:N816,10,),"N/a")</f>
        <v>N/a</v>
      </c>
      <c r="F447" s="515">
        <f>IFERROR(VLOOKUP(B447,MasterSheet!$B$6:$N$421,11,),"N/a")</f>
        <v>216.45</v>
      </c>
      <c r="G447" s="516">
        <f t="shared" si="116"/>
        <v>216.45</v>
      </c>
      <c r="H447" s="916"/>
      <c r="I447" s="916"/>
      <c r="J447" s="517">
        <f>D447*$J$430</f>
        <v>0</v>
      </c>
      <c r="K447" s="518">
        <f t="shared" si="120"/>
        <v>0</v>
      </c>
      <c r="L447" s="518">
        <f t="shared" si="119"/>
        <v>0</v>
      </c>
      <c r="M447" s="519"/>
      <c r="N447" s="520"/>
      <c r="O447" s="449"/>
    </row>
    <row r="448" spans="2:15" collapsed="1">
      <c r="B448" s="219" t="s">
        <v>1434</v>
      </c>
      <c r="C448" s="15" t="s">
        <v>1433</v>
      </c>
      <c r="D448" s="184">
        <f>E448*(1+$E$8)</f>
        <v>56100.000000000007</v>
      </c>
      <c r="E448" s="184">
        <v>51000</v>
      </c>
      <c r="F448" s="174">
        <f>H451</f>
        <v>16128.298320562017</v>
      </c>
      <c r="G448" s="489">
        <f>I451</f>
        <v>16932.298320562018</v>
      </c>
      <c r="H448" s="500">
        <f>F448/E448</f>
        <v>0.3162411435404317</v>
      </c>
      <c r="I448" s="500">
        <f>G448/E448</f>
        <v>0.33200584942278466</v>
      </c>
      <c r="J448" s="501">
        <f>VLOOKUP(B448,'SALES MIX'!B14:J104,4)</f>
        <v>0</v>
      </c>
      <c r="K448" s="501">
        <f>VLOOKUP(B448,'SALES MIX'!B14:J104,5)</f>
        <v>0</v>
      </c>
      <c r="L448" s="221" t="e">
        <f>((F448*J448)+(G448*K448))/((J448+K448)*E448)</f>
        <v>#DIV/0!</v>
      </c>
      <c r="M448" s="493"/>
      <c r="N448" s="493"/>
      <c r="O448" s="449"/>
    </row>
    <row r="449" spans="2:15" ht="14.65" hidden="1" customHeight="1" outlineLevel="1" thickTop="1">
      <c r="B449" s="913" t="s">
        <v>608</v>
      </c>
      <c r="C449" s="914" t="s">
        <v>1305</v>
      </c>
      <c r="D449" s="915" t="s">
        <v>1306</v>
      </c>
      <c r="E449" s="915" t="s">
        <v>60</v>
      </c>
      <c r="F449" s="915" t="s">
        <v>615</v>
      </c>
      <c r="G449" s="915" t="s">
        <v>755</v>
      </c>
      <c r="H449" s="907" t="s">
        <v>1312</v>
      </c>
      <c r="I449" s="907"/>
      <c r="J449" s="907" t="s">
        <v>1319</v>
      </c>
      <c r="K449" s="907"/>
      <c r="L449" s="908" t="s">
        <v>1313</v>
      </c>
      <c r="M449" s="907" t="s">
        <v>912</v>
      </c>
      <c r="N449" s="917"/>
      <c r="O449" s="449"/>
    </row>
    <row r="450" spans="2:15" ht="14.65" hidden="1" customHeight="1" outlineLevel="1" thickBot="1">
      <c r="B450" s="894"/>
      <c r="C450" s="896"/>
      <c r="D450" s="898"/>
      <c r="E450" s="898"/>
      <c r="F450" s="898"/>
      <c r="G450" s="898"/>
      <c r="H450" s="502" t="s">
        <v>1309</v>
      </c>
      <c r="I450" s="502" t="s">
        <v>1308</v>
      </c>
      <c r="J450" s="502" t="s">
        <v>1309</v>
      </c>
      <c r="K450" s="502" t="s">
        <v>1308</v>
      </c>
      <c r="L450" s="901"/>
      <c r="M450" s="903"/>
      <c r="N450" s="904"/>
      <c r="O450" s="449"/>
    </row>
    <row r="451" spans="2:15" ht="14.25" hidden="1" customHeight="1" outlineLevel="1">
      <c r="B451" s="504" t="s">
        <v>631</v>
      </c>
      <c r="C451" s="15" t="str">
        <f>IFERROR(VLOOKUP(B451,MasterSheet!$B$6:$N$150,3,),"n/a")</f>
        <v>Injected Whole Chicken (1.25kg)</v>
      </c>
      <c r="D451" s="499">
        <f>1250/9</f>
        <v>138.88888888888889</v>
      </c>
      <c r="E451" s="505" t="str">
        <f>IFERROR(VLOOKUP(B451,[4]MasterSheet!$B$6:$N$144,10,),"N/a")</f>
        <v>g</v>
      </c>
      <c r="F451" s="506">
        <f>IFERROR(VLOOKUP(B451,MasterSheet!$B$6:$N$150,11,),"N/a")</f>
        <v>34.314223999999996</v>
      </c>
      <c r="G451" s="488">
        <f>IFERROR(D451*F451,"_")</f>
        <v>4765.8644444444435</v>
      </c>
      <c r="H451" s="905">
        <f>SUM(G451:G459,G461,G465,G463,G464)</f>
        <v>16128.298320562017</v>
      </c>
      <c r="I451" s="905">
        <f>SUM(G451:G458,G460,G461,G465,G462,G464,G463)</f>
        <v>16932.298320562018</v>
      </c>
      <c r="J451" s="491">
        <f>D451*$J$448</f>
        <v>0</v>
      </c>
      <c r="K451" s="501">
        <f>D451*$K$448</f>
        <v>0</v>
      </c>
      <c r="L451" s="501">
        <f>SUM(J451:K451)</f>
        <v>0</v>
      </c>
      <c r="M451" s="493"/>
      <c r="N451" s="507"/>
      <c r="O451" s="449"/>
    </row>
    <row r="452" spans="2:15" ht="14.25" hidden="1" customHeight="1" outlineLevel="1">
      <c r="B452" s="508" t="s">
        <v>758</v>
      </c>
      <c r="C452" s="15" t="str">
        <f>IFERROR(VLOOKUP(B452,MasterSheet!$B$6:$N$150,3,),"n/a")</f>
        <v>Honey pepper Sauce</v>
      </c>
      <c r="D452" s="499">
        <f>D451*11%</f>
        <v>15.277777777777777</v>
      </c>
      <c r="E452" s="505" t="str">
        <f>IFERROR(VLOOKUP(B452,[4]MasterSheet!$B$6:$N$144,10,),"N/a")</f>
        <v>g</v>
      </c>
      <c r="F452" s="506">
        <f>IFERROR(VLOOKUP(B452,MasterSheet!$B$6:$N$150,11,),"N/a")</f>
        <v>118.99739583333333</v>
      </c>
      <c r="G452" s="488">
        <f t="shared" ref="G452:G465" si="121">IFERROR(D452*F452,"_")</f>
        <v>1818.0157696759256</v>
      </c>
      <c r="H452" s="905"/>
      <c r="I452" s="905"/>
      <c r="J452" s="491">
        <f t="shared" ref="J452:J458" si="122">D452*$J$448</f>
        <v>0</v>
      </c>
      <c r="K452" s="501">
        <f t="shared" ref="K452:K458" si="123">D452*$K$448</f>
        <v>0</v>
      </c>
      <c r="L452" s="501">
        <f t="shared" ref="L452:L465" si="124">SUM(J452:K452)</f>
        <v>0</v>
      </c>
      <c r="M452" s="493"/>
      <c r="N452" s="507"/>
      <c r="O452" s="449"/>
    </row>
    <row r="453" spans="2:15" ht="14.25" hidden="1" customHeight="1" outlineLevel="1">
      <c r="B453" s="508" t="s">
        <v>999</v>
      </c>
      <c r="C453" s="15" t="str">
        <f>IFERROR(VLOOKUP(B453,MasterSheet!$B$6:$N$150,3,),"n/a")</f>
        <v>Palm Oil</v>
      </c>
      <c r="D453" s="499">
        <f>D451*0.1</f>
        <v>13.888888888888889</v>
      </c>
      <c r="E453" s="505" t="str">
        <f>IFERROR(VLOOKUP(B453,[4]MasterSheet!$B$6:$N$144,10,),"N/a")</f>
        <v>g</v>
      </c>
      <c r="F453" s="506">
        <f>IFERROR(VLOOKUP(B453,MasterSheet!$B$6:$N$150,11,),"N/a")</f>
        <v>25.580404040404041</v>
      </c>
      <c r="G453" s="488">
        <f t="shared" si="121"/>
        <v>355.28338945005612</v>
      </c>
      <c r="H453" s="905"/>
      <c r="I453" s="905"/>
      <c r="J453" s="491">
        <f t="shared" si="122"/>
        <v>0</v>
      </c>
      <c r="K453" s="501">
        <f t="shared" si="123"/>
        <v>0</v>
      </c>
      <c r="L453" s="501">
        <f t="shared" si="124"/>
        <v>0</v>
      </c>
      <c r="M453" s="493"/>
      <c r="N453" s="507"/>
      <c r="O453" s="449"/>
    </row>
    <row r="454" spans="2:15" ht="14.25" hidden="1" customHeight="1" outlineLevel="1">
      <c r="B454" s="508" t="s">
        <v>672</v>
      </c>
      <c r="C454" s="15" t="str">
        <f>IFERROR(VLOOKUP(B454,MasterSheet!$B$6:$N$150,3,),"n/a")</f>
        <v>Scallion(Green Onion)</v>
      </c>
      <c r="D454" s="499">
        <v>5</v>
      </c>
      <c r="E454" s="505" t="str">
        <f>IFERROR(VLOOKUP(B454,[4]MasterSheet!$B$6:$N$144,10,),"N/a")</f>
        <v>g</v>
      </c>
      <c r="F454" s="506">
        <f>IFERROR(VLOOKUP(B454,MasterSheet!$B$6:$N$150,11,),"N/a")</f>
        <v>27.705263157894738</v>
      </c>
      <c r="G454" s="488">
        <f t="shared" si="121"/>
        <v>138.5263157894737</v>
      </c>
      <c r="H454" s="905"/>
      <c r="I454" s="905"/>
      <c r="J454" s="491">
        <f t="shared" si="122"/>
        <v>0</v>
      </c>
      <c r="K454" s="501">
        <f t="shared" si="123"/>
        <v>0</v>
      </c>
      <c r="L454" s="501">
        <f t="shared" si="124"/>
        <v>0</v>
      </c>
      <c r="M454" s="493"/>
      <c r="N454" s="507"/>
      <c r="O454" s="449"/>
    </row>
    <row r="455" spans="2:15" ht="14.25" hidden="1" customHeight="1" outlineLevel="1">
      <c r="B455" s="508" t="s">
        <v>785</v>
      </c>
      <c r="C455" s="15" t="str">
        <f>IFERROR(VLOOKUP(B455,MasterSheet!$B$6:$N$150,3,),"n/a")</f>
        <v xml:space="preserve">Black Tea (w/water) </v>
      </c>
      <c r="D455" s="499">
        <v>250</v>
      </c>
      <c r="E455" s="505" t="str">
        <f>IFERROR(VLOOKUP(B455,[4]MasterSheet!$B$6:$N$144,10,),"N/a")</f>
        <v>g</v>
      </c>
      <c r="F455" s="506">
        <f>IFERROR(VLOOKUP(B455,MasterSheet!$B$6:$N$150,11,),"N/a")</f>
        <v>1.6818181818181819</v>
      </c>
      <c r="G455" s="488">
        <f t="shared" si="121"/>
        <v>420.4545454545455</v>
      </c>
      <c r="H455" s="905"/>
      <c r="I455" s="905"/>
      <c r="J455" s="491">
        <f t="shared" si="122"/>
        <v>0</v>
      </c>
      <c r="K455" s="501">
        <f t="shared" si="123"/>
        <v>0</v>
      </c>
      <c r="L455" s="501">
        <f t="shared" si="124"/>
        <v>0</v>
      </c>
      <c r="M455" s="493"/>
      <c r="N455" s="507"/>
      <c r="O455" s="449"/>
    </row>
    <row r="456" spans="2:15" ht="14.25" hidden="1" customHeight="1" outlineLevel="1">
      <c r="B456" s="508" t="s">
        <v>1029</v>
      </c>
      <c r="C456" s="15" t="str">
        <f>IFERROR(VLOOKUP(B456,MasterSheet!$B$6:$N$150,3,),"n/a")</f>
        <v>GIMBORI (Crispy Seaweed)</v>
      </c>
      <c r="D456" s="499">
        <v>1</v>
      </c>
      <c r="E456" s="505" t="str">
        <f>IFERROR(VLOOKUP(B456,[4]MasterSheet!$B$6:$N$144,10,),"N/a")</f>
        <v>g</v>
      </c>
      <c r="F456" s="506">
        <f>IFERROR(VLOOKUP(B456,MasterSheet!$B$6:$N$150,11,),"N/a")</f>
        <v>390.90909090909093</v>
      </c>
      <c r="G456" s="488">
        <f t="shared" si="121"/>
        <v>390.90909090909093</v>
      </c>
      <c r="H456" s="905"/>
      <c r="I456" s="905"/>
      <c r="J456" s="491">
        <f t="shared" si="122"/>
        <v>0</v>
      </c>
      <c r="K456" s="501">
        <f t="shared" si="123"/>
        <v>0</v>
      </c>
      <c r="L456" s="501">
        <f t="shared" si="124"/>
        <v>0</v>
      </c>
      <c r="M456" s="493"/>
      <c r="N456" s="507"/>
      <c r="O456" s="449"/>
    </row>
    <row r="457" spans="2:15" ht="14.25" hidden="1" customHeight="1" outlineLevel="1">
      <c r="B457" s="509" t="s">
        <v>568</v>
      </c>
      <c r="C457" s="15" t="str">
        <f>VLOOKUP(B457,CK!$B$8:$L$87,4,)</f>
        <v>Battering Powder Mix C Solution(Yellow)</v>
      </c>
      <c r="D457" s="510">
        <f>D451*0.21</f>
        <v>29.166666666666664</v>
      </c>
      <c r="E457" s="505" t="str">
        <f>VLOOKUP(B457,[4]CK!$B$8:$L$87,9,)</f>
        <v>g</v>
      </c>
      <c r="F457" s="506">
        <f>VLOOKUP(B457,CK!$B$8:$L$87,10,)</f>
        <v>23.80952380952381</v>
      </c>
      <c r="G457" s="488">
        <f t="shared" si="121"/>
        <v>694.44444444444446</v>
      </c>
      <c r="H457" s="905"/>
      <c r="I457" s="905"/>
      <c r="J457" s="491">
        <f t="shared" si="122"/>
        <v>0</v>
      </c>
      <c r="K457" s="501">
        <f t="shared" si="123"/>
        <v>0</v>
      </c>
      <c r="L457" s="501">
        <f t="shared" si="124"/>
        <v>0</v>
      </c>
      <c r="M457" s="493"/>
      <c r="N457" s="507"/>
      <c r="O457" s="449"/>
    </row>
    <row r="458" spans="2:15" ht="14.25" hidden="1" customHeight="1" outlineLevel="1">
      <c r="B458" s="509" t="s">
        <v>1413</v>
      </c>
      <c r="C458" s="15" t="str">
        <f>VLOOKUP(B458,CK!$B$8:$L$87,4,)</f>
        <v xml:space="preserve">Tteokbokki </v>
      </c>
      <c r="D458" s="510">
        <v>163</v>
      </c>
      <c r="E458" s="505" t="str">
        <f>VLOOKUP(B458,[4]CK!$B$8:$L$87,9,)</f>
        <v>g</v>
      </c>
      <c r="F458" s="506">
        <f>VLOOKUP(B458,CK!$B$8:$L$87,10,)</f>
        <v>26.910124664994086</v>
      </c>
      <c r="G458" s="488">
        <f t="shared" si="121"/>
        <v>4386.3503203940363</v>
      </c>
      <c r="H458" s="905"/>
      <c r="I458" s="905"/>
      <c r="J458" s="491">
        <f t="shared" si="122"/>
        <v>0</v>
      </c>
      <c r="K458" s="501">
        <f t="shared" si="123"/>
        <v>0</v>
      </c>
      <c r="L458" s="501">
        <f t="shared" si="124"/>
        <v>0</v>
      </c>
      <c r="M458" s="493"/>
      <c r="N458" s="507"/>
      <c r="O458" s="449"/>
    </row>
    <row r="459" spans="2:15" ht="14.25" hidden="1" customHeight="1" outlineLevel="1">
      <c r="B459" s="523" t="s">
        <v>1341</v>
      </c>
      <c r="C459" s="15" t="str">
        <f>IFERROR(VLOOKUP(B459,MasterSheet!$B$6:$N$521,3,),"n/a")</f>
        <v>BB.Q Papertray</v>
      </c>
      <c r="D459" s="510">
        <v>1</v>
      </c>
      <c r="E459" s="505" t="str">
        <f>IFERROR(VLOOKUP(B459,[4]MasterSheet!$B$6:$N$515,10,),"N/a")</f>
        <v>ea</v>
      </c>
      <c r="F459" s="506">
        <f>IFERROR(VLOOKUP(B459,MasterSheet!$B$6:$N$521,11,),"N/a")</f>
        <v>600</v>
      </c>
      <c r="G459" s="488">
        <f t="shared" si="121"/>
        <v>600</v>
      </c>
      <c r="H459" s="905"/>
      <c r="I459" s="905"/>
      <c r="J459" s="491">
        <f>D459*$J$448</f>
        <v>0</v>
      </c>
      <c r="K459" s="501"/>
      <c r="L459" s="501">
        <f t="shared" si="124"/>
        <v>0</v>
      </c>
      <c r="M459" s="493"/>
      <c r="N459" s="507"/>
      <c r="O459" s="449"/>
    </row>
    <row r="460" spans="2:15" ht="14.25" hidden="1" customHeight="1" outlineLevel="1">
      <c r="B460" s="523" t="s">
        <v>1335</v>
      </c>
      <c r="C460" s="15" t="str">
        <f>IFERROR(VLOOKUP(B460,MasterSheet!$B$6:$N$521,3,),"n/a")</f>
        <v xml:space="preserve">BB.Q FOODPAIL M </v>
      </c>
      <c r="D460" s="510">
        <v>1</v>
      </c>
      <c r="E460" s="505" t="str">
        <f>IFERROR(VLOOKUP(B460,[4]MasterSheet!$B$6:$N$515,10,),"N/a")</f>
        <v>ea</v>
      </c>
      <c r="F460" s="506">
        <f>IFERROR(VLOOKUP(B460,MasterSheet!$B$6:$N$521,11,),"N/a")</f>
        <v>1204</v>
      </c>
      <c r="G460" s="488">
        <f t="shared" si="121"/>
        <v>1204</v>
      </c>
      <c r="H460" s="905"/>
      <c r="I460" s="905"/>
      <c r="J460" s="491"/>
      <c r="K460" s="501">
        <f>D460*$K$448</f>
        <v>0</v>
      </c>
      <c r="L460" s="501">
        <f t="shared" si="124"/>
        <v>0</v>
      </c>
      <c r="M460" s="493"/>
      <c r="N460" s="507"/>
      <c r="O460" s="449"/>
    </row>
    <row r="461" spans="2:15" ht="14.25" hidden="1" customHeight="1" outlineLevel="1">
      <c r="B461" s="523" t="s">
        <v>1365</v>
      </c>
      <c r="C461" s="15" t="str">
        <f>IFERROR(VLOOKUP(B461,MasterSheet!$B$6:$N$521,3,),"n/a")</f>
        <v>Drink Package(16oz)</v>
      </c>
      <c r="D461" s="510">
        <v>1</v>
      </c>
      <c r="E461" s="505" t="str">
        <f>IFERROR(VLOOKUP(B461,[4]MasterSheet!$B$6:$N$515,10,),"N/a")</f>
        <v>ea</v>
      </c>
      <c r="F461" s="506">
        <f>IFERROR(VLOOKUP(B461,MasterSheet!$B$6:$N$521,11,),"N/a")</f>
        <v>750</v>
      </c>
      <c r="G461" s="488">
        <f t="shared" si="121"/>
        <v>750</v>
      </c>
      <c r="H461" s="905"/>
      <c r="I461" s="905"/>
      <c r="J461" s="491">
        <f>D461*$J$448</f>
        <v>0</v>
      </c>
      <c r="K461" s="501">
        <f>D461*$K$448</f>
        <v>0</v>
      </c>
      <c r="L461" s="501">
        <f t="shared" si="124"/>
        <v>0</v>
      </c>
      <c r="M461" s="493"/>
      <c r="N461" s="507"/>
      <c r="O461" s="449"/>
    </row>
    <row r="462" spans="2:15" ht="14.25" hidden="1" customHeight="1" outlineLevel="1">
      <c r="B462" s="523" t="s">
        <v>1384</v>
      </c>
      <c r="C462" s="15" t="str">
        <f>IFERROR(VLOOKUP(B462,MasterSheet!$B$6:$N$521,3,),"n/a")</f>
        <v>DRINK PACKAGE LID(16OZ)</v>
      </c>
      <c r="D462" s="510">
        <v>1</v>
      </c>
      <c r="E462" s="505" t="str">
        <f>IFERROR(VLOOKUP(B462,[4]MasterSheet!$B$6:$N$515,10,),"N/a")</f>
        <v>ea</v>
      </c>
      <c r="F462" s="506">
        <f>IFERROR(VLOOKUP(B462,MasterSheet!$B$6:$N$521,11,),"N/a")</f>
        <v>200</v>
      </c>
      <c r="G462" s="488">
        <f t="shared" si="121"/>
        <v>200</v>
      </c>
      <c r="H462" s="905"/>
      <c r="I462" s="905"/>
      <c r="J462" s="491"/>
      <c r="K462" s="501">
        <f>D462*$K$448</f>
        <v>0</v>
      </c>
      <c r="L462" s="501">
        <f t="shared" si="124"/>
        <v>0</v>
      </c>
      <c r="M462" s="493"/>
      <c r="N462" s="507"/>
      <c r="O462" s="449"/>
    </row>
    <row r="463" spans="2:15" ht="14.25" hidden="1" customHeight="1" outlineLevel="1">
      <c r="B463" s="523" t="s">
        <v>1414</v>
      </c>
      <c r="C463" s="15" t="str">
        <f>IFERROR(VLOOKUP(B463,MasterSheet!$B$6:$N$521,3,),"n/a")</f>
        <v>PAPER BOWL PACKAGE (500ML)</v>
      </c>
      <c r="D463" s="510">
        <v>1</v>
      </c>
      <c r="E463" s="505" t="str">
        <f>IFERROR(VLOOKUP(B463,[4]MasterSheet!$B$6:$N$515,10,),"N/a")</f>
        <v>ea</v>
      </c>
      <c r="F463" s="506">
        <f>IFERROR(VLOOKUP(B463,MasterSheet!$B$6:$N$521,11,),"N/a")</f>
        <v>1164</v>
      </c>
      <c r="G463" s="488">
        <f t="shared" si="121"/>
        <v>1164</v>
      </c>
      <c r="H463" s="905"/>
      <c r="I463" s="905"/>
      <c r="J463" s="491">
        <f>D463*$J$448</f>
        <v>0</v>
      </c>
      <c r="K463" s="501">
        <f>D463*$K$448</f>
        <v>0</v>
      </c>
      <c r="L463" s="501">
        <f t="shared" si="124"/>
        <v>0</v>
      </c>
      <c r="M463" s="493"/>
      <c r="N463" s="507"/>
      <c r="O463" s="449"/>
    </row>
    <row r="464" spans="2:15" ht="14.25" hidden="1" customHeight="1" outlineLevel="1">
      <c r="B464" s="523" t="s">
        <v>1415</v>
      </c>
      <c r="C464" s="15" t="str">
        <f>IFERROR(VLOOKUP(B464,MasterSheet!$B$6:$N$521,3,),"n/a")</f>
        <v>PAPER BOWL PACKAGE (500ML) LID</v>
      </c>
      <c r="D464" s="510">
        <v>1</v>
      </c>
      <c r="E464" s="505" t="str">
        <f>IFERROR(VLOOKUP(B464,[4]MasterSheet!$B$6:$N$515,10,),"N/a")</f>
        <v>ea</v>
      </c>
      <c r="F464" s="506">
        <f>IFERROR(VLOOKUP(B464,MasterSheet!$B$6:$N$521,11,),"N/a")</f>
        <v>428</v>
      </c>
      <c r="G464" s="488">
        <f t="shared" si="121"/>
        <v>428</v>
      </c>
      <c r="H464" s="905"/>
      <c r="I464" s="905"/>
      <c r="J464" s="491">
        <f>D464*$J$448</f>
        <v>0</v>
      </c>
      <c r="K464" s="501">
        <f>D464*$K$339</f>
        <v>0</v>
      </c>
      <c r="L464" s="501">
        <f t="shared" si="124"/>
        <v>0</v>
      </c>
      <c r="M464" s="493"/>
      <c r="N464" s="507"/>
      <c r="O464" s="449"/>
    </row>
    <row r="465" spans="2:15" ht="14.65" hidden="1" customHeight="1" outlineLevel="1" thickBot="1">
      <c r="B465" s="524" t="s">
        <v>1150</v>
      </c>
      <c r="C465" s="512" t="str">
        <f>IFERROR(VLOOKUP(B465,MasterSheet!$B$6:$N$421,3,),"n/a")</f>
        <v>PARCHMENT PAPER / WRAPPING RICE</v>
      </c>
      <c r="D465" s="513">
        <v>1</v>
      </c>
      <c r="E465" s="514" t="str">
        <f>IFERROR(VLOOKUP(B465,[4]MasterSheet!B243:N834,10,),"N/a")</f>
        <v>N/a</v>
      </c>
      <c r="F465" s="515">
        <f>IFERROR(VLOOKUP(B465,MasterSheet!$B$6:$N$421,11,),"N/a")</f>
        <v>216.45</v>
      </c>
      <c r="G465" s="516">
        <f t="shared" si="121"/>
        <v>216.45</v>
      </c>
      <c r="H465" s="916"/>
      <c r="I465" s="916"/>
      <c r="J465" s="517">
        <f>D465*$J$448</f>
        <v>0</v>
      </c>
      <c r="K465" s="518">
        <f>D465*$K$339</f>
        <v>0</v>
      </c>
      <c r="L465" s="518">
        <f t="shared" si="124"/>
        <v>0</v>
      </c>
      <c r="M465" s="519"/>
      <c r="N465" s="520"/>
      <c r="O465" s="449"/>
    </row>
    <row r="466" spans="2:15" collapsed="1">
      <c r="B466" s="219" t="s">
        <v>1435</v>
      </c>
      <c r="C466" s="15" t="s">
        <v>1437</v>
      </c>
      <c r="D466" s="184">
        <f>E466*(1+$E$8)</f>
        <v>53900.000000000007</v>
      </c>
      <c r="E466" s="184">
        <v>49000</v>
      </c>
      <c r="F466" s="174">
        <f>H469</f>
        <v>19745.237442074471</v>
      </c>
      <c r="G466" s="489">
        <f>I469</f>
        <v>20583.237442074471</v>
      </c>
      <c r="H466" s="500">
        <f>F466/E466</f>
        <v>0.40296402943009124</v>
      </c>
      <c r="I466" s="500">
        <f>G466/E466</f>
        <v>0.42006607024641779</v>
      </c>
      <c r="J466" s="501">
        <f>VLOOKUP(B466,'SALES MIX'!B14:J104,4)</f>
        <v>41.5</v>
      </c>
      <c r="K466" s="501">
        <f>VLOOKUP(B466,'SALES MIX'!B14:J104,5)</f>
        <v>6</v>
      </c>
      <c r="L466" s="221">
        <f>((F466*J466)+(G466*K466))/((J466+K466)*E466)</f>
        <v>0.40512428721741672</v>
      </c>
      <c r="M466" s="493"/>
      <c r="N466" s="493"/>
      <c r="O466" s="449"/>
    </row>
    <row r="467" spans="2:15" ht="14.65" hidden="1" customHeight="1" outlineLevel="1" thickTop="1">
      <c r="B467" s="913" t="s">
        <v>608</v>
      </c>
      <c r="C467" s="914" t="s">
        <v>1305</v>
      </c>
      <c r="D467" s="915" t="s">
        <v>1306</v>
      </c>
      <c r="E467" s="915" t="s">
        <v>60</v>
      </c>
      <c r="F467" s="915" t="s">
        <v>615</v>
      </c>
      <c r="G467" s="915" t="s">
        <v>755</v>
      </c>
      <c r="H467" s="907" t="s">
        <v>1312</v>
      </c>
      <c r="I467" s="907"/>
      <c r="J467" s="907" t="s">
        <v>1319</v>
      </c>
      <c r="K467" s="907"/>
      <c r="L467" s="908" t="s">
        <v>1313</v>
      </c>
      <c r="M467" s="907" t="s">
        <v>912</v>
      </c>
      <c r="N467" s="917"/>
      <c r="O467" s="449"/>
    </row>
    <row r="468" spans="2:15" ht="14.65" hidden="1" customHeight="1" outlineLevel="1" thickBot="1">
      <c r="B468" s="894"/>
      <c r="C468" s="896"/>
      <c r="D468" s="898"/>
      <c r="E468" s="898"/>
      <c r="F468" s="898"/>
      <c r="G468" s="898"/>
      <c r="H468" s="502" t="s">
        <v>1309</v>
      </c>
      <c r="I468" s="502" t="s">
        <v>1308</v>
      </c>
      <c r="J468" s="502" t="s">
        <v>1309</v>
      </c>
      <c r="K468" s="502" t="s">
        <v>1308</v>
      </c>
      <c r="L468" s="901"/>
      <c r="M468" s="903"/>
      <c r="N468" s="904"/>
      <c r="O468" s="449"/>
    </row>
    <row r="469" spans="2:15" ht="14.25" hidden="1" customHeight="1" outlineLevel="1">
      <c r="B469" s="504" t="s">
        <v>631</v>
      </c>
      <c r="C469" s="15" t="str">
        <f>IFERROR(VLOOKUP(B469,MasterSheet!$B$6:$N$150,3,),"n/a")</f>
        <v>Injected Whole Chicken (1.25kg)</v>
      </c>
      <c r="D469" s="499">
        <f>1250/9*2</f>
        <v>277.77777777777777</v>
      </c>
      <c r="E469" s="505" t="str">
        <f>IFERROR(VLOOKUP(B469,[4]MasterSheet!$B$6:$N$144,10,),"N/a")</f>
        <v>g</v>
      </c>
      <c r="F469" s="506">
        <f>IFERROR(VLOOKUP(B469,MasterSheet!$B$6:$N$150,11,),"N/a")</f>
        <v>34.314223999999996</v>
      </c>
      <c r="G469" s="488">
        <f>IFERROR(D469*F469,"_")</f>
        <v>9531.728888888887</v>
      </c>
      <c r="H469" s="905">
        <f>SUM(G469:G477,G479,G481)</f>
        <v>19745.237442074471</v>
      </c>
      <c r="I469" s="905">
        <f>SUM(G469:G476,G478,G479,G481,G480)</f>
        <v>20583.237442074471</v>
      </c>
      <c r="J469" s="491">
        <f>D469*$J$466</f>
        <v>11527.777777777777</v>
      </c>
      <c r="K469" s="501">
        <f>D469*$K$466</f>
        <v>1666.6666666666665</v>
      </c>
      <c r="L469" s="501">
        <f>SUM(J469:K469)</f>
        <v>13194.444444444443</v>
      </c>
      <c r="M469" s="493"/>
      <c r="N469" s="507"/>
      <c r="O469" s="449"/>
    </row>
    <row r="470" spans="2:15" ht="14.25" hidden="1" customHeight="1" outlineLevel="1">
      <c r="B470" s="508" t="s">
        <v>757</v>
      </c>
      <c r="C470" s="15" t="str">
        <f>IFERROR(VLOOKUP(B470,MasterSheet!$B$6:$N$150,3,),"n/a")</f>
        <v xml:space="preserve">Marinade Powder Mix </v>
      </c>
      <c r="D470" s="499">
        <f>D469*0.012</f>
        <v>3.3333333333333335</v>
      </c>
      <c r="E470" s="505" t="str">
        <f>IFERROR(VLOOKUP(B470,[4]MasterSheet!$B$6:$N$144,10,),"N/a")</f>
        <v>g</v>
      </c>
      <c r="F470" s="506">
        <f>IFERROR(VLOOKUP(B470,MasterSheet!$B$6:$N$150,11,),"N/a")</f>
        <v>117.51275510204081</v>
      </c>
      <c r="G470" s="488">
        <f t="shared" ref="G470:G481" si="125">IFERROR(D470*F470,"_")</f>
        <v>391.7091836734694</v>
      </c>
      <c r="H470" s="905"/>
      <c r="I470" s="905"/>
      <c r="J470" s="491">
        <f t="shared" ref="J470:J479" si="126">D470*$J$466</f>
        <v>138.33333333333334</v>
      </c>
      <c r="K470" s="501">
        <f t="shared" ref="K470:K476" si="127">D470*$K$466</f>
        <v>20</v>
      </c>
      <c r="L470" s="501">
        <f t="shared" ref="L470:L480" si="128">SUM(J470:K470)</f>
        <v>158.33333333333334</v>
      </c>
      <c r="M470" s="493"/>
      <c r="N470" s="507"/>
      <c r="O470" s="449"/>
    </row>
    <row r="471" spans="2:15" ht="14.25" hidden="1" customHeight="1" outlineLevel="1">
      <c r="B471" s="508" t="s">
        <v>4</v>
      </c>
      <c r="C471" s="15" t="str">
        <f>IFERROR(VLOOKUP(B471,MasterSheet!$B$6:$N$150,3,),"n/a")</f>
        <v>Battering Powder Mix</v>
      </c>
      <c r="D471" s="499">
        <f>D469*0.175</f>
        <v>48.611111111111107</v>
      </c>
      <c r="E471" s="505" t="str">
        <f>IFERROR(VLOOKUP(B471,[4]MasterSheet!$B$6:$N$144,10,),"N/a")</f>
        <v>g</v>
      </c>
      <c r="F471" s="506">
        <f>IFERROR(VLOOKUP(B471,MasterSheet!$B$6:$N$150,11,),"N/a")</f>
        <v>81.617647058823536</v>
      </c>
      <c r="G471" s="488">
        <f t="shared" si="125"/>
        <v>3967.5245098039218</v>
      </c>
      <c r="H471" s="905"/>
      <c r="I471" s="905"/>
      <c r="J471" s="491">
        <f t="shared" si="126"/>
        <v>2017.3611111111109</v>
      </c>
      <c r="K471" s="501">
        <f t="shared" si="127"/>
        <v>291.66666666666663</v>
      </c>
      <c r="L471" s="501">
        <f t="shared" si="128"/>
        <v>2309.0277777777774</v>
      </c>
      <c r="M471" s="493"/>
      <c r="N471" s="507"/>
      <c r="O471" s="449"/>
    </row>
    <row r="472" spans="2:15" ht="14.25" hidden="1" customHeight="1" outlineLevel="1">
      <c r="B472" s="508" t="s">
        <v>999</v>
      </c>
      <c r="C472" s="15" t="str">
        <f>IFERROR(VLOOKUP(B472,MasterSheet!$B$6:$N$150,3,),"n/a")</f>
        <v>Palm Oil</v>
      </c>
      <c r="D472" s="499">
        <f>D469*0.1</f>
        <v>27.777777777777779</v>
      </c>
      <c r="E472" s="505" t="str">
        <f>IFERROR(VLOOKUP(B472,[4]MasterSheet!$B$6:$N$144,10,),"N/a")</f>
        <v>g</v>
      </c>
      <c r="F472" s="506">
        <f>IFERROR(VLOOKUP(B472,MasterSheet!$B$6:$N$150,11,),"N/a")</f>
        <v>25.580404040404041</v>
      </c>
      <c r="G472" s="488">
        <f t="shared" si="125"/>
        <v>710.56677890011224</v>
      </c>
      <c r="H472" s="905"/>
      <c r="I472" s="905"/>
      <c r="J472" s="491">
        <f t="shared" si="126"/>
        <v>1152.7777777777778</v>
      </c>
      <c r="K472" s="501">
        <f t="shared" si="127"/>
        <v>166.66666666666669</v>
      </c>
      <c r="L472" s="501">
        <f t="shared" si="128"/>
        <v>1319.4444444444446</v>
      </c>
      <c r="M472" s="493"/>
      <c r="N472" s="507"/>
      <c r="O472" s="449"/>
    </row>
    <row r="473" spans="2:15" ht="14.25" hidden="1" customHeight="1" outlineLevel="1">
      <c r="B473" s="508" t="s">
        <v>785</v>
      </c>
      <c r="C473" s="15" t="str">
        <f>IFERROR(VLOOKUP(B473,MasterSheet!$B$6:$N$150,3,),"n/a")</f>
        <v xml:space="preserve">Black Tea (w/water) </v>
      </c>
      <c r="D473" s="499">
        <v>250</v>
      </c>
      <c r="E473" s="505" t="str">
        <f>IFERROR(VLOOKUP(B473,[4]MasterSheet!$B$6:$N$144,10,),"N/a")</f>
        <v>g</v>
      </c>
      <c r="F473" s="506">
        <f>IFERROR(VLOOKUP(B473,MasterSheet!$B$6:$N$150,11,),"N/a")</f>
        <v>1.6818181818181819</v>
      </c>
      <c r="G473" s="488">
        <f t="shared" si="125"/>
        <v>420.4545454545455</v>
      </c>
      <c r="H473" s="905"/>
      <c r="I473" s="905"/>
      <c r="J473" s="491">
        <f t="shared" si="126"/>
        <v>10375</v>
      </c>
      <c r="K473" s="501">
        <f t="shared" si="127"/>
        <v>1500</v>
      </c>
      <c r="L473" s="501">
        <f t="shared" si="128"/>
        <v>11875</v>
      </c>
      <c r="M473" s="493"/>
      <c r="N473" s="507"/>
      <c r="O473" s="449"/>
    </row>
    <row r="474" spans="2:15" ht="14.25" hidden="1" customHeight="1" outlineLevel="1">
      <c r="B474" s="508" t="s">
        <v>1029</v>
      </c>
      <c r="C474" s="15" t="str">
        <f>IFERROR(VLOOKUP(B474,MasterSheet!$B$6:$N$150,3,),"n/a")</f>
        <v>GIMBORI (Crispy Seaweed)</v>
      </c>
      <c r="D474" s="499">
        <v>1</v>
      </c>
      <c r="E474" s="505" t="str">
        <f>IFERROR(VLOOKUP(B474,[4]MasterSheet!$B$6:$N$144,10,),"N/a")</f>
        <v>g</v>
      </c>
      <c r="F474" s="506">
        <f>IFERROR(VLOOKUP(B474,MasterSheet!$B$6:$N$150,11,),"N/a")</f>
        <v>390.90909090909093</v>
      </c>
      <c r="G474" s="488">
        <f t="shared" si="125"/>
        <v>390.90909090909093</v>
      </c>
      <c r="H474" s="905"/>
      <c r="I474" s="905"/>
      <c r="J474" s="491">
        <f t="shared" si="126"/>
        <v>41.5</v>
      </c>
      <c r="K474" s="501">
        <f t="shared" si="127"/>
        <v>6</v>
      </c>
      <c r="L474" s="501">
        <f t="shared" si="128"/>
        <v>47.5</v>
      </c>
      <c r="M474" s="493"/>
      <c r="N474" s="507"/>
      <c r="O474" s="449"/>
    </row>
    <row r="475" spans="2:15" ht="14.25" hidden="1" customHeight="1" outlineLevel="1">
      <c r="B475" s="509" t="s">
        <v>567</v>
      </c>
      <c r="C475" s="15" t="str">
        <f>VLOOKUP(B475,CK!$B$8:$L$87,4,)</f>
        <v>Battering Powder Mix Solution(White)</v>
      </c>
      <c r="D475" s="510">
        <f>D469*0.2</f>
        <v>55.555555555555557</v>
      </c>
      <c r="E475" s="505" t="str">
        <f>VLOOKUP(B475,[4]CK!$B$8:$L$87,9,)</f>
        <v>g</v>
      </c>
      <c r="F475" s="506">
        <f>VLOOKUP(B475,CK!$B$8:$L$87,10,)</f>
        <v>30.23</v>
      </c>
      <c r="G475" s="488">
        <f t="shared" si="125"/>
        <v>1679.4444444444446</v>
      </c>
      <c r="H475" s="905"/>
      <c r="I475" s="905"/>
      <c r="J475" s="491">
        <f t="shared" si="126"/>
        <v>2305.5555555555557</v>
      </c>
      <c r="K475" s="501">
        <f t="shared" si="127"/>
        <v>333.33333333333337</v>
      </c>
      <c r="L475" s="501">
        <f t="shared" si="128"/>
        <v>2638.8888888888891</v>
      </c>
      <c r="M475" s="493"/>
      <c r="N475" s="507"/>
      <c r="O475" s="449"/>
    </row>
    <row r="476" spans="2:15" ht="14.25" hidden="1" customHeight="1" outlineLevel="1">
      <c r="B476" s="509" t="s">
        <v>1363</v>
      </c>
      <c r="C476" s="15" t="str">
        <f>VLOOKUP(B476,CK!$B$8:$L$87,4,)</f>
        <v>Steamed Rice</v>
      </c>
      <c r="D476" s="510">
        <v>180</v>
      </c>
      <c r="E476" s="505" t="str">
        <f>VLOOKUP(B476,[4]CK!$B$8:$L$87,9,)</f>
        <v>g</v>
      </c>
      <c r="F476" s="506">
        <f>VLOOKUP(B476,CK!$B$8:$L$87,10,)</f>
        <v>4.833333333333333</v>
      </c>
      <c r="G476" s="488">
        <f t="shared" si="125"/>
        <v>870</v>
      </c>
      <c r="H476" s="905"/>
      <c r="I476" s="905"/>
      <c r="J476" s="491">
        <f t="shared" si="126"/>
        <v>7470</v>
      </c>
      <c r="K476" s="501">
        <f t="shared" si="127"/>
        <v>1080</v>
      </c>
      <c r="L476" s="501">
        <f t="shared" si="128"/>
        <v>8550</v>
      </c>
      <c r="M476" s="493"/>
      <c r="N476" s="507"/>
      <c r="O476" s="449"/>
    </row>
    <row r="477" spans="2:15" ht="14.25" hidden="1" customHeight="1" outlineLevel="1">
      <c r="B477" s="523" t="s">
        <v>1341</v>
      </c>
      <c r="C477" s="15" t="str">
        <f>IFERROR(VLOOKUP(B477,MasterSheet!$B$6:$N$521,3,),"n/a")</f>
        <v>BB.Q Papertray</v>
      </c>
      <c r="D477" s="510">
        <v>1</v>
      </c>
      <c r="E477" s="505" t="str">
        <f>IFERROR(VLOOKUP(B477,[4]MasterSheet!$B$6:$N$515,10,),"N/a")</f>
        <v>ea</v>
      </c>
      <c r="F477" s="506">
        <f>IFERROR(VLOOKUP(B477,MasterSheet!$B$6:$N$521,11,),"N/a")</f>
        <v>600</v>
      </c>
      <c r="G477" s="488">
        <f t="shared" si="125"/>
        <v>600</v>
      </c>
      <c r="H477" s="905"/>
      <c r="I477" s="905"/>
      <c r="J477" s="491">
        <f t="shared" si="126"/>
        <v>41.5</v>
      </c>
      <c r="K477" s="501"/>
      <c r="L477" s="501">
        <f t="shared" si="128"/>
        <v>41.5</v>
      </c>
      <c r="M477" s="493"/>
      <c r="N477" s="507"/>
      <c r="O477" s="449"/>
    </row>
    <row r="478" spans="2:15" ht="14.25" hidden="1" customHeight="1" outlineLevel="1">
      <c r="B478" s="523" t="s">
        <v>1337</v>
      </c>
      <c r="C478" s="15" t="str">
        <f>IFERROR(VLOOKUP(B478,MasterSheet!$B$6:$N$521,3,),"n/a")</f>
        <v>BB.Q FOODPAIL L</v>
      </c>
      <c r="D478" s="510">
        <v>1</v>
      </c>
      <c r="E478" s="505" t="str">
        <f>IFERROR(VLOOKUP(B478,[4]MasterSheet!$B$6:$N$515,10,),"N/a")</f>
        <v>ea</v>
      </c>
      <c r="F478" s="506">
        <f>IFERROR(VLOOKUP(B478,MasterSheet!$B$6:$N$521,11,),"N/a")</f>
        <v>1238</v>
      </c>
      <c r="G478" s="488">
        <f t="shared" si="125"/>
        <v>1238</v>
      </c>
      <c r="H478" s="905"/>
      <c r="I478" s="905"/>
      <c r="J478" s="491"/>
      <c r="K478" s="501">
        <f>D478*$K$466</f>
        <v>6</v>
      </c>
      <c r="L478" s="501">
        <f t="shared" si="128"/>
        <v>6</v>
      </c>
      <c r="M478" s="493"/>
      <c r="N478" s="507"/>
      <c r="O478" s="449"/>
    </row>
    <row r="479" spans="2:15" ht="14.25" hidden="1" customHeight="1" outlineLevel="1">
      <c r="B479" s="523" t="s">
        <v>1365</v>
      </c>
      <c r="C479" s="15" t="str">
        <f>IFERROR(VLOOKUP(B479,MasterSheet!$B$6:$N$521,3,),"n/a")</f>
        <v>Drink Package(16oz)</v>
      </c>
      <c r="D479" s="510">
        <v>1</v>
      </c>
      <c r="E479" s="505" t="str">
        <f>IFERROR(VLOOKUP(B479,[4]MasterSheet!$B$6:$N$515,10,),"N/a")</f>
        <v>ea</v>
      </c>
      <c r="F479" s="506">
        <f>IFERROR(VLOOKUP(B479,MasterSheet!$B$6:$N$521,11,),"N/a")</f>
        <v>750</v>
      </c>
      <c r="G479" s="488">
        <f t="shared" si="125"/>
        <v>750</v>
      </c>
      <c r="H479" s="905"/>
      <c r="I479" s="905"/>
      <c r="J479" s="491">
        <f t="shared" si="126"/>
        <v>41.5</v>
      </c>
      <c r="K479" s="501">
        <f>D479*$K$466</f>
        <v>6</v>
      </c>
      <c r="L479" s="501">
        <f t="shared" si="128"/>
        <v>47.5</v>
      </c>
      <c r="M479" s="493"/>
      <c r="N479" s="507"/>
      <c r="O479" s="449"/>
    </row>
    <row r="480" spans="2:15" ht="14.25" hidden="1" customHeight="1" outlineLevel="1">
      <c r="B480" s="523" t="s">
        <v>1384</v>
      </c>
      <c r="C480" s="15" t="str">
        <f>IFERROR(VLOOKUP(B480,MasterSheet!$B$6:$N$521,3,),"n/a")</f>
        <v>DRINK PACKAGE LID(16OZ)</v>
      </c>
      <c r="D480" s="510">
        <v>1</v>
      </c>
      <c r="E480" s="505" t="str">
        <f>IFERROR(VLOOKUP(B480,[4]MasterSheet!$B$6:$N$515,10,),"N/a")</f>
        <v>ea</v>
      </c>
      <c r="F480" s="506">
        <f>IFERROR(VLOOKUP(B480,MasterSheet!$B$6:$N$521,11,),"N/a")</f>
        <v>200</v>
      </c>
      <c r="G480" s="488">
        <f t="shared" si="125"/>
        <v>200</v>
      </c>
      <c r="H480" s="905"/>
      <c r="I480" s="905"/>
      <c r="J480" s="491"/>
      <c r="K480" s="501">
        <f>D480*$K$466</f>
        <v>6</v>
      </c>
      <c r="L480" s="501">
        <f t="shared" si="128"/>
        <v>6</v>
      </c>
      <c r="M480" s="493"/>
      <c r="N480" s="507"/>
      <c r="O480" s="449"/>
    </row>
    <row r="481" spans="2:15" ht="14.65" hidden="1" customHeight="1" outlineLevel="1" thickBot="1">
      <c r="B481" s="524" t="s">
        <v>1150</v>
      </c>
      <c r="C481" s="512" t="str">
        <f>IFERROR(VLOOKUP(B481,MasterSheet!$B$6:$N$421,3,),"n/a")</f>
        <v>PARCHMENT PAPER / WRAPPING RICE</v>
      </c>
      <c r="D481" s="513">
        <v>2</v>
      </c>
      <c r="E481" s="514" t="str">
        <f>IFERROR(VLOOKUP(B481,[4]MasterSheet!B263:N854,10,),"N/a")</f>
        <v>N/a</v>
      </c>
      <c r="F481" s="515">
        <f>IFERROR(VLOOKUP(B481,MasterSheet!$B$6:$N$421,11,),"N/a")</f>
        <v>216.45</v>
      </c>
      <c r="G481" s="516">
        <f t="shared" si="125"/>
        <v>432.9</v>
      </c>
      <c r="H481" s="916"/>
      <c r="I481" s="916"/>
      <c r="J481" s="517">
        <f>D481*$J$466</f>
        <v>83</v>
      </c>
      <c r="K481" s="518">
        <f>D481*$K$466</f>
        <v>12</v>
      </c>
      <c r="L481" s="518">
        <f>SUM(J481:K481)</f>
        <v>95</v>
      </c>
      <c r="M481" s="519"/>
      <c r="N481" s="520"/>
      <c r="O481" s="449"/>
    </row>
    <row r="482" spans="2:15" collapsed="1">
      <c r="B482" s="219" t="s">
        <v>1440</v>
      </c>
      <c r="C482" s="15" t="s">
        <v>1439</v>
      </c>
      <c r="D482" s="184">
        <f>E482*(1+$E$8)</f>
        <v>60500.000000000007</v>
      </c>
      <c r="E482" s="184">
        <v>55000</v>
      </c>
      <c r="F482" s="174">
        <f>H485</f>
        <v>25406.044733741142</v>
      </c>
      <c r="G482" s="489">
        <f>I485</f>
        <v>26244.044733741142</v>
      </c>
      <c r="H482" s="500">
        <f>F482/E482</f>
        <v>0.46192808606802077</v>
      </c>
      <c r="I482" s="500">
        <f>G482/E482</f>
        <v>0.47716444970438443</v>
      </c>
      <c r="J482" s="501">
        <f>VLOOKUP(B482,'SALES MIX'!B14:J104,4)</f>
        <v>0</v>
      </c>
      <c r="K482" s="501">
        <f>VLOOKUP(B482,'SALES MIX'!B14:J104,5)</f>
        <v>0</v>
      </c>
      <c r="L482" s="221" t="e">
        <f>((F482*J482)+(G482*K482))/((J482+K482)*E482)</f>
        <v>#DIV/0!</v>
      </c>
      <c r="M482" s="493"/>
      <c r="N482" s="493"/>
      <c r="O482" s="449"/>
    </row>
    <row r="483" spans="2:15" ht="14.65" hidden="1" customHeight="1" outlineLevel="1" thickTop="1">
      <c r="B483" s="913" t="s">
        <v>608</v>
      </c>
      <c r="C483" s="914" t="s">
        <v>1305</v>
      </c>
      <c r="D483" s="915" t="s">
        <v>1306</v>
      </c>
      <c r="E483" s="915" t="s">
        <v>60</v>
      </c>
      <c r="F483" s="915" t="s">
        <v>615</v>
      </c>
      <c r="G483" s="915" t="s">
        <v>755</v>
      </c>
      <c r="H483" s="907" t="s">
        <v>1312</v>
      </c>
      <c r="I483" s="907"/>
      <c r="J483" s="907" t="s">
        <v>1319</v>
      </c>
      <c r="K483" s="907"/>
      <c r="L483" s="908" t="s">
        <v>1313</v>
      </c>
      <c r="M483" s="907" t="s">
        <v>912</v>
      </c>
      <c r="N483" s="917"/>
      <c r="O483" s="449"/>
    </row>
    <row r="484" spans="2:15" ht="14.65" hidden="1" customHeight="1" outlineLevel="1" thickBot="1">
      <c r="B484" s="894"/>
      <c r="C484" s="896"/>
      <c r="D484" s="898"/>
      <c r="E484" s="898"/>
      <c r="F484" s="898"/>
      <c r="G484" s="898"/>
      <c r="H484" s="502" t="s">
        <v>1309</v>
      </c>
      <c r="I484" s="502" t="s">
        <v>1308</v>
      </c>
      <c r="J484" s="502" t="s">
        <v>1309</v>
      </c>
      <c r="K484" s="502" t="s">
        <v>1308</v>
      </c>
      <c r="L484" s="901"/>
      <c r="M484" s="903"/>
      <c r="N484" s="904"/>
      <c r="O484" s="449"/>
    </row>
    <row r="485" spans="2:15" ht="14.25" hidden="1" customHeight="1" outlineLevel="1">
      <c r="B485" s="504" t="s">
        <v>631</v>
      </c>
      <c r="C485" s="15" t="str">
        <f>IFERROR(VLOOKUP(B485,MasterSheet!$B$6:$N$150,3,),"n/a")</f>
        <v>Injected Whole Chicken (1.25kg)</v>
      </c>
      <c r="D485" s="499">
        <f>1250/9*2</f>
        <v>277.77777777777777</v>
      </c>
      <c r="E485" s="505" t="str">
        <f>IFERROR(VLOOKUP(B485,[4]MasterSheet!$B$6:$N$144,10,),"N/a")</f>
        <v>g</v>
      </c>
      <c r="F485" s="506">
        <f>IFERROR(VLOOKUP(B485,MasterSheet!$B$6:$N$150,11,),"N/a")</f>
        <v>34.314223999999996</v>
      </c>
      <c r="G485" s="488">
        <f>IFERROR(D485*F485,"_")</f>
        <v>9531.728888888887</v>
      </c>
      <c r="H485" s="905">
        <f>SUM(G485:G494,G496,G498)</f>
        <v>25406.044733741142</v>
      </c>
      <c r="I485" s="905">
        <f>SUM(G485:G493,G495,G496,G498,G497)</f>
        <v>26244.044733741142</v>
      </c>
      <c r="J485" s="491">
        <f>D485*$J$482</f>
        <v>0</v>
      </c>
      <c r="K485" s="501">
        <f>D485*$K$482</f>
        <v>0</v>
      </c>
      <c r="L485" s="501">
        <f>SUM(J485:K485)</f>
        <v>0</v>
      </c>
      <c r="M485" s="493"/>
      <c r="N485" s="507"/>
      <c r="O485" s="449"/>
    </row>
    <row r="486" spans="2:15" ht="14.25" hidden="1" customHeight="1" outlineLevel="1">
      <c r="B486" s="508" t="s">
        <v>757</v>
      </c>
      <c r="C486" s="15" t="str">
        <f>IFERROR(VLOOKUP(B486,MasterSheet!$B$6:$N$150,3,),"n/a")</f>
        <v xml:space="preserve">Marinade Powder Mix </v>
      </c>
      <c r="D486" s="499">
        <f>D485*0.012</f>
        <v>3.3333333333333335</v>
      </c>
      <c r="E486" s="505" t="str">
        <f>IFERROR(VLOOKUP(B486,[4]MasterSheet!$B$6:$N$144,10,),"N/a")</f>
        <v>g</v>
      </c>
      <c r="F486" s="506">
        <f>IFERROR(VLOOKUP(B486,MasterSheet!$B$6:$N$150,11,),"N/a")</f>
        <v>117.51275510204081</v>
      </c>
      <c r="G486" s="488">
        <f t="shared" ref="G486:G498" si="129">IFERROR(D486*F486,"_")</f>
        <v>391.7091836734694</v>
      </c>
      <c r="H486" s="905"/>
      <c r="I486" s="905"/>
      <c r="J486" s="491">
        <f t="shared" ref="J486:J494" si="130">D486*$J$482</f>
        <v>0</v>
      </c>
      <c r="K486" s="501">
        <f t="shared" ref="K486:K493" si="131">D486*$K$482</f>
        <v>0</v>
      </c>
      <c r="L486" s="501">
        <f t="shared" ref="L486:L497" si="132">SUM(J486:K486)</f>
        <v>0</v>
      </c>
      <c r="M486" s="493"/>
      <c r="N486" s="507"/>
      <c r="O486" s="449"/>
    </row>
    <row r="487" spans="2:15" ht="14.25" hidden="1" customHeight="1" outlineLevel="1">
      <c r="B487" s="508" t="s">
        <v>4</v>
      </c>
      <c r="C487" s="15" t="str">
        <f>IFERROR(VLOOKUP(B487,MasterSheet!$B$6:$N$150,3,),"n/a")</f>
        <v>Battering Powder Mix</v>
      </c>
      <c r="D487" s="499">
        <f>D485*0.175</f>
        <v>48.611111111111107</v>
      </c>
      <c r="E487" s="505" t="str">
        <f>IFERROR(VLOOKUP(B487,[4]MasterSheet!$B$6:$N$144,10,),"N/a")</f>
        <v>g</v>
      </c>
      <c r="F487" s="506">
        <f>IFERROR(VLOOKUP(B487,MasterSheet!$B$6:$N$150,11,),"N/a")</f>
        <v>81.617647058823536</v>
      </c>
      <c r="G487" s="488">
        <f t="shared" si="129"/>
        <v>3967.5245098039218</v>
      </c>
      <c r="H487" s="905"/>
      <c r="I487" s="905"/>
      <c r="J487" s="491">
        <f t="shared" si="130"/>
        <v>0</v>
      </c>
      <c r="K487" s="501">
        <f t="shared" si="131"/>
        <v>0</v>
      </c>
      <c r="L487" s="501">
        <f t="shared" si="132"/>
        <v>0</v>
      </c>
      <c r="M487" s="493"/>
      <c r="N487" s="507"/>
      <c r="O487" s="449"/>
    </row>
    <row r="488" spans="2:15" ht="14.25" hidden="1" customHeight="1" outlineLevel="1">
      <c r="B488" s="508" t="s">
        <v>999</v>
      </c>
      <c r="C488" s="15" t="str">
        <f>IFERROR(VLOOKUP(B488,MasterSheet!$B$6:$N$150,3,),"n/a")</f>
        <v>Palm Oil</v>
      </c>
      <c r="D488" s="499">
        <f>D485*0.1</f>
        <v>27.777777777777779</v>
      </c>
      <c r="E488" s="505" t="str">
        <f>IFERROR(VLOOKUP(B488,[4]MasterSheet!$B$6:$N$144,10,),"N/a")</f>
        <v>g</v>
      </c>
      <c r="F488" s="506">
        <f>IFERROR(VLOOKUP(B488,MasterSheet!$B$6:$N$150,11,),"N/a")</f>
        <v>25.580404040404041</v>
      </c>
      <c r="G488" s="488">
        <f t="shared" si="129"/>
        <v>710.56677890011224</v>
      </c>
      <c r="H488" s="905"/>
      <c r="I488" s="905"/>
      <c r="J488" s="491">
        <f t="shared" si="130"/>
        <v>0</v>
      </c>
      <c r="K488" s="501">
        <f t="shared" si="131"/>
        <v>0</v>
      </c>
      <c r="L488" s="501">
        <f t="shared" si="132"/>
        <v>0</v>
      </c>
      <c r="M488" s="493"/>
      <c r="N488" s="507"/>
      <c r="O488" s="449"/>
    </row>
    <row r="489" spans="2:15" ht="14.25" hidden="1" customHeight="1" outlineLevel="1">
      <c r="B489" s="508" t="s">
        <v>725</v>
      </c>
      <c r="C489" s="15" t="str">
        <f>IFERROR(VLOOKUP(B489,MasterSheet!$B$6:$N$150,3,),"n/a")</f>
        <v>Hot Spicy Sauce</v>
      </c>
      <c r="D489" s="499">
        <f>D485*15%</f>
        <v>41.666666666666664</v>
      </c>
      <c r="E489" s="505" t="str">
        <f>IFERROR(VLOOKUP(B489,[4]MasterSheet!$B$6:$N$144,10,),"N/a")</f>
        <v>g</v>
      </c>
      <c r="F489" s="506">
        <f>IFERROR(VLOOKUP(B489,MasterSheet!$B$6:$N$150,11,),"N/a")</f>
        <v>135.85937500000003</v>
      </c>
      <c r="G489" s="488">
        <f t="shared" si="129"/>
        <v>5660.8072916666679</v>
      </c>
      <c r="H489" s="905"/>
      <c r="I489" s="905"/>
      <c r="J489" s="491">
        <f t="shared" si="130"/>
        <v>0</v>
      </c>
      <c r="K489" s="501">
        <f t="shared" si="131"/>
        <v>0</v>
      </c>
      <c r="L489" s="501">
        <f t="shared" si="132"/>
        <v>0</v>
      </c>
      <c r="M489" s="493"/>
      <c r="N489" s="507"/>
      <c r="O489" s="449"/>
    </row>
    <row r="490" spans="2:15" ht="14.25" hidden="1" customHeight="1" outlineLevel="1">
      <c r="B490" s="508" t="s">
        <v>785</v>
      </c>
      <c r="C490" s="15" t="str">
        <f>IFERROR(VLOOKUP(B490,MasterSheet!$B$6:$N$150,3,),"n/a")</f>
        <v xml:space="preserve">Black Tea (w/water) </v>
      </c>
      <c r="D490" s="499">
        <v>250</v>
      </c>
      <c r="E490" s="505" t="str">
        <f>IFERROR(VLOOKUP(B490,[4]MasterSheet!$B$6:$N$144,10,),"N/a")</f>
        <v>g</v>
      </c>
      <c r="F490" s="506">
        <f>IFERROR(VLOOKUP(B490,MasterSheet!$B$6:$N$150,11,),"N/a")</f>
        <v>1.6818181818181819</v>
      </c>
      <c r="G490" s="488">
        <f t="shared" si="129"/>
        <v>420.4545454545455</v>
      </c>
      <c r="H490" s="905"/>
      <c r="I490" s="905"/>
      <c r="J490" s="491">
        <f t="shared" si="130"/>
        <v>0</v>
      </c>
      <c r="K490" s="501">
        <f t="shared" si="131"/>
        <v>0</v>
      </c>
      <c r="L490" s="501">
        <f t="shared" si="132"/>
        <v>0</v>
      </c>
      <c r="M490" s="493"/>
      <c r="N490" s="507"/>
      <c r="O490" s="449"/>
    </row>
    <row r="491" spans="2:15" ht="14.25" hidden="1" customHeight="1" outlineLevel="1">
      <c r="B491" s="508" t="s">
        <v>1029</v>
      </c>
      <c r="C491" s="15" t="str">
        <f>IFERROR(VLOOKUP(B491,MasterSheet!$B$6:$N$150,3,),"n/a")</f>
        <v>GIMBORI (Crispy Seaweed)</v>
      </c>
      <c r="D491" s="499">
        <v>1</v>
      </c>
      <c r="E491" s="505" t="str">
        <f>IFERROR(VLOOKUP(B491,[4]MasterSheet!$B$6:$N$144,10,),"N/a")</f>
        <v>g</v>
      </c>
      <c r="F491" s="506">
        <f>IFERROR(VLOOKUP(B491,MasterSheet!$B$6:$N$150,11,),"N/a")</f>
        <v>390.90909090909093</v>
      </c>
      <c r="G491" s="488">
        <f t="shared" si="129"/>
        <v>390.90909090909093</v>
      </c>
      <c r="H491" s="905"/>
      <c r="I491" s="905"/>
      <c r="J491" s="491">
        <f t="shared" si="130"/>
        <v>0</v>
      </c>
      <c r="K491" s="501">
        <f t="shared" si="131"/>
        <v>0</v>
      </c>
      <c r="L491" s="501">
        <f t="shared" si="132"/>
        <v>0</v>
      </c>
      <c r="M491" s="493"/>
      <c r="N491" s="507"/>
      <c r="O491" s="449"/>
    </row>
    <row r="492" spans="2:15" ht="14.25" hidden="1" customHeight="1" outlineLevel="1">
      <c r="B492" s="509" t="s">
        <v>567</v>
      </c>
      <c r="C492" s="15" t="str">
        <f>VLOOKUP(B492,CK!$B$8:$L$87,4,)</f>
        <v>Battering Powder Mix Solution(White)</v>
      </c>
      <c r="D492" s="510">
        <f>D485*0.2</f>
        <v>55.555555555555557</v>
      </c>
      <c r="E492" s="505" t="str">
        <f>VLOOKUP(B492,[4]CK!$B$8:$L$87,9,)</f>
        <v>g</v>
      </c>
      <c r="F492" s="506">
        <f>VLOOKUP(B492,CK!$B$8:$L$87,10,)</f>
        <v>30.23</v>
      </c>
      <c r="G492" s="488">
        <f t="shared" si="129"/>
        <v>1679.4444444444446</v>
      </c>
      <c r="H492" s="905"/>
      <c r="I492" s="905"/>
      <c r="J492" s="491">
        <f t="shared" si="130"/>
        <v>0</v>
      </c>
      <c r="K492" s="501">
        <f t="shared" si="131"/>
        <v>0</v>
      </c>
      <c r="L492" s="501">
        <f t="shared" si="132"/>
        <v>0</v>
      </c>
      <c r="M492" s="493"/>
      <c r="N492" s="507"/>
      <c r="O492" s="449"/>
    </row>
    <row r="493" spans="2:15" ht="14.25" hidden="1" customHeight="1" outlineLevel="1">
      <c r="B493" s="509" t="s">
        <v>1363</v>
      </c>
      <c r="C493" s="15" t="str">
        <f>VLOOKUP(B493,CK!$B$8:$L$87,4,)</f>
        <v>Steamed Rice</v>
      </c>
      <c r="D493" s="510">
        <v>180</v>
      </c>
      <c r="E493" s="505" t="str">
        <f>VLOOKUP(B493,[4]CK!$B$8:$L$87,9,)</f>
        <v>g</v>
      </c>
      <c r="F493" s="506">
        <f>VLOOKUP(B493,CK!$B$8:$L$87,10,)</f>
        <v>4.833333333333333</v>
      </c>
      <c r="G493" s="488">
        <f t="shared" si="129"/>
        <v>870</v>
      </c>
      <c r="H493" s="905"/>
      <c r="I493" s="905"/>
      <c r="J493" s="491">
        <f t="shared" si="130"/>
        <v>0</v>
      </c>
      <c r="K493" s="501">
        <f t="shared" si="131"/>
        <v>0</v>
      </c>
      <c r="L493" s="501">
        <f t="shared" si="132"/>
        <v>0</v>
      </c>
      <c r="M493" s="493"/>
      <c r="N493" s="507"/>
      <c r="O493" s="449"/>
    </row>
    <row r="494" spans="2:15" ht="14.25" hidden="1" customHeight="1" outlineLevel="1">
      <c r="B494" s="523" t="s">
        <v>1341</v>
      </c>
      <c r="C494" s="15" t="str">
        <f>IFERROR(VLOOKUP(B494,MasterSheet!$B$6:$N$521,3,),"n/a")</f>
        <v>BB.Q Papertray</v>
      </c>
      <c r="D494" s="510">
        <v>1</v>
      </c>
      <c r="E494" s="505" t="str">
        <f>IFERROR(VLOOKUP(B494,[4]MasterSheet!$B$6:$N$515,10,),"N/a")</f>
        <v>ea</v>
      </c>
      <c r="F494" s="506">
        <f>IFERROR(VLOOKUP(B494,MasterSheet!$B$6:$N$521,11,),"N/a")</f>
        <v>600</v>
      </c>
      <c r="G494" s="488">
        <f t="shared" si="129"/>
        <v>600</v>
      </c>
      <c r="H494" s="905"/>
      <c r="I494" s="905"/>
      <c r="J494" s="491">
        <f t="shared" si="130"/>
        <v>0</v>
      </c>
      <c r="K494" s="501"/>
      <c r="L494" s="501">
        <f t="shared" si="132"/>
        <v>0</v>
      </c>
      <c r="M494" s="493"/>
      <c r="N494" s="507"/>
      <c r="O494" s="449"/>
    </row>
    <row r="495" spans="2:15" ht="14.25" hidden="1" customHeight="1" outlineLevel="1">
      <c r="B495" s="523" t="s">
        <v>1337</v>
      </c>
      <c r="C495" s="15" t="str">
        <f>IFERROR(VLOOKUP(B495,MasterSheet!$B$6:$N$521,3,),"n/a")</f>
        <v>BB.Q FOODPAIL L</v>
      </c>
      <c r="D495" s="510">
        <v>1</v>
      </c>
      <c r="E495" s="505" t="str">
        <f>IFERROR(VLOOKUP(B495,[4]MasterSheet!$B$6:$N$515,10,),"N/a")</f>
        <v>ea</v>
      </c>
      <c r="F495" s="506">
        <f>IFERROR(VLOOKUP(B495,MasterSheet!$B$6:$N$521,11,),"N/a")</f>
        <v>1238</v>
      </c>
      <c r="G495" s="488">
        <f t="shared" si="129"/>
        <v>1238</v>
      </c>
      <c r="H495" s="905"/>
      <c r="I495" s="905"/>
      <c r="J495" s="491"/>
      <c r="K495" s="501">
        <f>D495*$K$482</f>
        <v>0</v>
      </c>
      <c r="L495" s="501">
        <f t="shared" si="132"/>
        <v>0</v>
      </c>
      <c r="M495" s="493"/>
      <c r="N495" s="507"/>
      <c r="O495" s="449"/>
    </row>
    <row r="496" spans="2:15" ht="14.25" hidden="1" customHeight="1" outlineLevel="1">
      <c r="B496" s="523" t="s">
        <v>1365</v>
      </c>
      <c r="C496" s="15" t="str">
        <f>IFERROR(VLOOKUP(B496,MasterSheet!$B$6:$N$521,3,),"n/a")</f>
        <v>Drink Package(16oz)</v>
      </c>
      <c r="D496" s="510">
        <v>1</v>
      </c>
      <c r="E496" s="505" t="str">
        <f>IFERROR(VLOOKUP(B496,[4]MasterSheet!$B$6:$N$515,10,),"N/a")</f>
        <v>ea</v>
      </c>
      <c r="F496" s="506">
        <f>IFERROR(VLOOKUP(B496,MasterSheet!$B$6:$N$521,11,),"N/a")</f>
        <v>750</v>
      </c>
      <c r="G496" s="488">
        <f t="shared" si="129"/>
        <v>750</v>
      </c>
      <c r="H496" s="905"/>
      <c r="I496" s="905"/>
      <c r="J496" s="491">
        <f>D496*$J$167</f>
        <v>0</v>
      </c>
      <c r="K496" s="501">
        <f>D496*$K$482</f>
        <v>0</v>
      </c>
      <c r="L496" s="501">
        <f t="shared" si="132"/>
        <v>0</v>
      </c>
      <c r="M496" s="493"/>
      <c r="N496" s="507"/>
      <c r="O496" s="449"/>
    </row>
    <row r="497" spans="2:15" ht="14.25" hidden="1" customHeight="1" outlineLevel="1">
      <c r="B497" s="523" t="s">
        <v>1384</v>
      </c>
      <c r="C497" s="15" t="str">
        <f>IFERROR(VLOOKUP(B497,MasterSheet!$B$6:$N$521,3,),"n/a")</f>
        <v>DRINK PACKAGE LID(16OZ)</v>
      </c>
      <c r="D497" s="510">
        <v>1</v>
      </c>
      <c r="E497" s="505" t="str">
        <f>IFERROR(VLOOKUP(B497,[4]MasterSheet!$B$6:$N$515,10,),"N/a")</f>
        <v>ea</v>
      </c>
      <c r="F497" s="506">
        <f>IFERROR(VLOOKUP(B497,MasterSheet!$B$6:$N$521,11,),"N/a")</f>
        <v>200</v>
      </c>
      <c r="G497" s="488">
        <f t="shared" si="129"/>
        <v>200</v>
      </c>
      <c r="H497" s="905"/>
      <c r="I497" s="905"/>
      <c r="J497" s="491"/>
      <c r="K497" s="501">
        <f>D497*$K$482</f>
        <v>0</v>
      </c>
      <c r="L497" s="501">
        <f t="shared" si="132"/>
        <v>0</v>
      </c>
      <c r="M497" s="493"/>
      <c r="N497" s="507"/>
      <c r="O497" s="449"/>
    </row>
    <row r="498" spans="2:15" ht="14.65" hidden="1" customHeight="1" outlineLevel="1" thickBot="1">
      <c r="B498" s="524" t="s">
        <v>1150</v>
      </c>
      <c r="C498" s="512" t="str">
        <f>IFERROR(VLOOKUP(B498,MasterSheet!$B$6:$N$421,3,),"n/a")</f>
        <v>PARCHMENT PAPER / WRAPPING RICE</v>
      </c>
      <c r="D498" s="513">
        <v>2</v>
      </c>
      <c r="E498" s="514" t="str">
        <f>IFERROR(VLOOKUP(B498,[4]MasterSheet!B278:N869,10,),"N/a")</f>
        <v>N/a</v>
      </c>
      <c r="F498" s="515">
        <f>IFERROR(VLOOKUP(B498,MasterSheet!$B$6:$N$421,11,),"N/a")</f>
        <v>216.45</v>
      </c>
      <c r="G498" s="516">
        <f t="shared" si="129"/>
        <v>432.9</v>
      </c>
      <c r="H498" s="916"/>
      <c r="I498" s="916"/>
      <c r="J498" s="517">
        <f>D498*$J$482</f>
        <v>0</v>
      </c>
      <c r="K498" s="518">
        <f>D498*$K$482</f>
        <v>0</v>
      </c>
      <c r="L498" s="518">
        <f>SUM(J498:K498)</f>
        <v>0</v>
      </c>
      <c r="M498" s="519"/>
      <c r="N498" s="520"/>
      <c r="O498" s="449"/>
    </row>
    <row r="499" spans="2:15" collapsed="1">
      <c r="B499" s="219" t="s">
        <v>1441</v>
      </c>
      <c r="C499" s="15" t="s">
        <v>1443</v>
      </c>
      <c r="D499" s="184">
        <f>E499*(1+$E$8)</f>
        <v>60500.000000000007</v>
      </c>
      <c r="E499" s="184">
        <v>55000</v>
      </c>
      <c r="F499" s="174">
        <f>H502</f>
        <v>18371.12846515037</v>
      </c>
      <c r="G499" s="489">
        <f>I502</f>
        <v>19209.12846515037</v>
      </c>
      <c r="H499" s="500">
        <f>F499/E499</f>
        <v>0.33402051754818857</v>
      </c>
      <c r="I499" s="500">
        <f>G499/E499</f>
        <v>0.34925688118455217</v>
      </c>
      <c r="J499" s="501">
        <f>VLOOKUP(B499,'SALES MIX'!B14:J104,4)</f>
        <v>86</v>
      </c>
      <c r="K499" s="501">
        <f>VLOOKUP(B499,'SALES MIX'!B14:J104,5)</f>
        <v>10.5</v>
      </c>
      <c r="L499" s="221">
        <f>((F499*J499)+(G499*K499))/((J499+K499)*E499)</f>
        <v>0.33567836022364778</v>
      </c>
      <c r="M499" s="493"/>
      <c r="N499" s="493"/>
      <c r="O499" s="449"/>
    </row>
    <row r="500" spans="2:15" ht="14.65" hidden="1" customHeight="1" outlineLevel="1" thickTop="1">
      <c r="B500" s="913" t="s">
        <v>608</v>
      </c>
      <c r="C500" s="914" t="s">
        <v>1305</v>
      </c>
      <c r="D500" s="915" t="s">
        <v>1306</v>
      </c>
      <c r="E500" s="915" t="s">
        <v>60</v>
      </c>
      <c r="F500" s="915" t="s">
        <v>615</v>
      </c>
      <c r="G500" s="915" t="s">
        <v>755</v>
      </c>
      <c r="H500" s="907" t="s">
        <v>1312</v>
      </c>
      <c r="I500" s="907"/>
      <c r="J500" s="907" t="s">
        <v>1319</v>
      </c>
      <c r="K500" s="907"/>
      <c r="L500" s="908" t="s">
        <v>1313</v>
      </c>
      <c r="M500" s="907" t="s">
        <v>912</v>
      </c>
      <c r="N500" s="917"/>
      <c r="O500" s="449"/>
    </row>
    <row r="501" spans="2:15" ht="14.65" hidden="1" customHeight="1" outlineLevel="1" thickBot="1">
      <c r="B501" s="894"/>
      <c r="C501" s="896"/>
      <c r="D501" s="898"/>
      <c r="E501" s="898"/>
      <c r="F501" s="898"/>
      <c r="G501" s="898"/>
      <c r="H501" s="502" t="s">
        <v>1309</v>
      </c>
      <c r="I501" s="502" t="s">
        <v>1308</v>
      </c>
      <c r="J501" s="502" t="s">
        <v>1309</v>
      </c>
      <c r="K501" s="502" t="s">
        <v>1308</v>
      </c>
      <c r="L501" s="901"/>
      <c r="M501" s="903"/>
      <c r="N501" s="904"/>
      <c r="O501" s="449"/>
    </row>
    <row r="502" spans="2:15" ht="14.25" hidden="1" customHeight="1" outlineLevel="1">
      <c r="B502" s="504" t="s">
        <v>631</v>
      </c>
      <c r="C502" s="15" t="str">
        <f>IFERROR(VLOOKUP(B502,MasterSheet!$B$6:$N$150,3,),"n/a")</f>
        <v>Injected Whole Chicken (1.25kg)</v>
      </c>
      <c r="D502" s="499">
        <f>1250/9*2</f>
        <v>277.77777777777777</v>
      </c>
      <c r="E502" s="505" t="str">
        <f>IFERROR(VLOOKUP(B502,[4]MasterSheet!$B$6:$N$144,10,),"N/a")</f>
        <v>g</v>
      </c>
      <c r="F502" s="506">
        <f>IFERROR(VLOOKUP(B502,MasterSheet!$B$6:$N$150,11,),"N/a")</f>
        <v>34.314223999999996</v>
      </c>
      <c r="G502" s="488">
        <f>IFERROR(D502*F502,"_")</f>
        <v>9531.728888888887</v>
      </c>
      <c r="H502" s="905">
        <f>SUM(G502:G510,G512,G514)</f>
        <v>18371.12846515037</v>
      </c>
      <c r="I502" s="905">
        <f>SUM(G502:G509,G511,G512,G514,G513)</f>
        <v>19209.12846515037</v>
      </c>
      <c r="J502" s="491">
        <f>D502*$J$499</f>
        <v>23888.888888888887</v>
      </c>
      <c r="K502" s="501">
        <f>D502*$K$499</f>
        <v>2916.6666666666665</v>
      </c>
      <c r="L502" s="501">
        <f>SUM(J502:K502)</f>
        <v>26805.555555555555</v>
      </c>
      <c r="M502" s="493"/>
      <c r="N502" s="507"/>
      <c r="O502" s="449"/>
    </row>
    <row r="503" spans="2:15" ht="14.25" hidden="1" customHeight="1" outlineLevel="1">
      <c r="B503" s="508" t="s">
        <v>690</v>
      </c>
      <c r="C503" s="15" t="str">
        <f>IFERROR(VLOOKUP(B503,MasterSheet!$B$6:$N$150,3,),"n/a")</f>
        <v xml:space="preserve">Cheese Taste Seasoning Mix </v>
      </c>
      <c r="D503" s="499">
        <f>D502*4%</f>
        <v>11.111111111111111</v>
      </c>
      <c r="E503" s="505" t="str">
        <f>IFERROR(VLOOKUP(B503,[4]MasterSheet!$B$6:$N$144,10,),"N/a")</f>
        <v>g</v>
      </c>
      <c r="F503" s="506">
        <f>IFERROR(VLOOKUP(B503,MasterSheet!$B$6:$N$150,11,),"N/a")</f>
        <v>294.48979591836735</v>
      </c>
      <c r="G503" s="488">
        <f t="shared" ref="G503:G514" si="133">IFERROR(D503*F503,"_")</f>
        <v>3272.1088435374149</v>
      </c>
      <c r="H503" s="905"/>
      <c r="I503" s="905"/>
      <c r="J503" s="491">
        <f t="shared" ref="J503:J509" si="134">D503*$J$499</f>
        <v>955.55555555555554</v>
      </c>
      <c r="K503" s="501">
        <f t="shared" ref="K503:K509" si="135">D503*$K$499</f>
        <v>116.66666666666666</v>
      </c>
      <c r="L503" s="501">
        <f t="shared" ref="L503:L514" si="136">SUM(J503:K503)</f>
        <v>1072.2222222222222</v>
      </c>
      <c r="M503" s="493"/>
      <c r="N503" s="507"/>
      <c r="O503" s="449"/>
    </row>
    <row r="504" spans="2:15" ht="14.25" hidden="1" customHeight="1" outlineLevel="1">
      <c r="B504" s="508" t="s">
        <v>999</v>
      </c>
      <c r="C504" s="15" t="str">
        <f>IFERROR(VLOOKUP(B504,MasterSheet!$B$6:$N$150,3,),"n/a")</f>
        <v>Palm Oil</v>
      </c>
      <c r="D504" s="499">
        <f>D502*0.1</f>
        <v>27.777777777777779</v>
      </c>
      <c r="E504" s="505" t="str">
        <f>IFERROR(VLOOKUP(B504,[4]MasterSheet!$B$6:$N$144,10,),"N/a")</f>
        <v>g</v>
      </c>
      <c r="F504" s="506">
        <f>IFERROR(VLOOKUP(B504,MasterSheet!$B$6:$N$150,11,),"N/a")</f>
        <v>25.580404040404041</v>
      </c>
      <c r="G504" s="488">
        <f t="shared" si="133"/>
        <v>710.56677890011224</v>
      </c>
      <c r="H504" s="905"/>
      <c r="I504" s="905"/>
      <c r="J504" s="491">
        <f t="shared" si="134"/>
        <v>2388.8888888888891</v>
      </c>
      <c r="K504" s="501">
        <f t="shared" si="135"/>
        <v>291.66666666666669</v>
      </c>
      <c r="L504" s="501">
        <f t="shared" si="136"/>
        <v>2680.5555555555557</v>
      </c>
      <c r="M504" s="493"/>
      <c r="N504" s="507"/>
      <c r="O504" s="449"/>
    </row>
    <row r="505" spans="2:15" ht="14.25" hidden="1" customHeight="1" outlineLevel="1">
      <c r="B505" s="508" t="s">
        <v>804</v>
      </c>
      <c r="C505" s="15" t="str">
        <f>IFERROR(VLOOKUP(B505,MasterSheet!$B$6:$N$150,3,),"n/a")</f>
        <v>Lemon</v>
      </c>
      <c r="D505" s="499">
        <v>0.1</v>
      </c>
      <c r="E505" s="505" t="str">
        <f>IFERROR(VLOOKUP(B505,[4]MasterSheet!$B$6:$N$144,10,),"N/a")</f>
        <v>ea</v>
      </c>
      <c r="F505" s="506">
        <f>IFERROR(VLOOKUP(B505,MasterSheet!$B$6:$N$150,11,),"N/a")</f>
        <v>35.714285714285715</v>
      </c>
      <c r="G505" s="488">
        <f t="shared" si="133"/>
        <v>3.5714285714285716</v>
      </c>
      <c r="H505" s="905"/>
      <c r="I505" s="905"/>
      <c r="J505" s="491">
        <f t="shared" si="134"/>
        <v>8.6</v>
      </c>
      <c r="K505" s="501">
        <f t="shared" si="135"/>
        <v>1.05</v>
      </c>
      <c r="L505" s="501">
        <f t="shared" si="136"/>
        <v>9.65</v>
      </c>
      <c r="M505" s="493"/>
      <c r="N505" s="507"/>
      <c r="O505" s="449"/>
    </row>
    <row r="506" spans="2:15" ht="14.25" hidden="1" customHeight="1" outlineLevel="1">
      <c r="B506" s="508" t="s">
        <v>785</v>
      </c>
      <c r="C506" s="15" t="str">
        <f>IFERROR(VLOOKUP(B506,MasterSheet!$B$6:$N$150,3,),"n/a")</f>
        <v xml:space="preserve">Black Tea (w/water) </v>
      </c>
      <c r="D506" s="499">
        <v>250</v>
      </c>
      <c r="E506" s="505" t="str">
        <f>IFERROR(VLOOKUP(B506,[4]MasterSheet!$B$6:$N$144,10,),"N/a")</f>
        <v>g</v>
      </c>
      <c r="F506" s="506">
        <f>IFERROR(VLOOKUP(B506,MasterSheet!$B$6:$N$150,11,),"N/a")</f>
        <v>1.6818181818181819</v>
      </c>
      <c r="G506" s="488">
        <f t="shared" si="133"/>
        <v>420.4545454545455</v>
      </c>
      <c r="H506" s="905"/>
      <c r="I506" s="905"/>
      <c r="J506" s="491">
        <f t="shared" si="134"/>
        <v>21500</v>
      </c>
      <c r="K506" s="501">
        <f t="shared" si="135"/>
        <v>2625</v>
      </c>
      <c r="L506" s="501">
        <f t="shared" si="136"/>
        <v>24125</v>
      </c>
      <c r="M506" s="493"/>
      <c r="N506" s="507"/>
      <c r="O506" s="449"/>
    </row>
    <row r="507" spans="2:15" ht="14.25" hidden="1" customHeight="1" outlineLevel="1">
      <c r="B507" s="508" t="s">
        <v>1029</v>
      </c>
      <c r="C507" s="15" t="str">
        <f>IFERROR(VLOOKUP(B507,MasterSheet!$B$6:$N$150,3,),"n/a")</f>
        <v>GIMBORI (Crispy Seaweed)</v>
      </c>
      <c r="D507" s="499">
        <v>1</v>
      </c>
      <c r="E507" s="505" t="str">
        <f>IFERROR(VLOOKUP(B507,[4]MasterSheet!$B$6:$N$144,10,),"N/a")</f>
        <v>g</v>
      </c>
      <c r="F507" s="506">
        <f>IFERROR(VLOOKUP(B507,MasterSheet!$B$6:$N$150,11,),"N/a")</f>
        <v>390.90909090909093</v>
      </c>
      <c r="G507" s="488">
        <f t="shared" si="133"/>
        <v>390.90909090909093</v>
      </c>
      <c r="H507" s="905"/>
      <c r="I507" s="905"/>
      <c r="J507" s="491">
        <f t="shared" si="134"/>
        <v>86</v>
      </c>
      <c r="K507" s="501">
        <f t="shared" si="135"/>
        <v>10.5</v>
      </c>
      <c r="L507" s="501">
        <f t="shared" si="136"/>
        <v>96.5</v>
      </c>
      <c r="M507" s="493"/>
      <c r="N507" s="507"/>
      <c r="O507" s="449"/>
    </row>
    <row r="508" spans="2:15" ht="14.25" hidden="1" customHeight="1" outlineLevel="1">
      <c r="B508" s="509" t="s">
        <v>568</v>
      </c>
      <c r="C508" s="15" t="str">
        <f>VLOOKUP(B508,CK!$B$8:$L$87,4,)</f>
        <v>Battering Powder Mix C Solution(Yellow)</v>
      </c>
      <c r="D508" s="510">
        <f>D502*0.21</f>
        <v>58.333333333333329</v>
      </c>
      <c r="E508" s="505" t="str">
        <f>VLOOKUP(B508,[4]CK!$B$8:$L$87,9,)</f>
        <v>g</v>
      </c>
      <c r="F508" s="506">
        <f>VLOOKUP(B508,CK!$B$8:$L$87,10,)</f>
        <v>23.80952380952381</v>
      </c>
      <c r="G508" s="488">
        <f t="shared" si="133"/>
        <v>1388.8888888888889</v>
      </c>
      <c r="H508" s="905"/>
      <c r="I508" s="905"/>
      <c r="J508" s="491">
        <f t="shared" si="134"/>
        <v>5016.6666666666661</v>
      </c>
      <c r="K508" s="501">
        <f t="shared" si="135"/>
        <v>612.5</v>
      </c>
      <c r="L508" s="501">
        <f t="shared" si="136"/>
        <v>5629.1666666666661</v>
      </c>
      <c r="M508" s="493"/>
      <c r="N508" s="507"/>
      <c r="O508" s="449"/>
    </row>
    <row r="509" spans="2:15" ht="14.25" hidden="1" customHeight="1" outlineLevel="1">
      <c r="B509" s="509" t="s">
        <v>1363</v>
      </c>
      <c r="C509" s="15" t="str">
        <f>VLOOKUP(B509,CK!$B$8:$L$87,4,)</f>
        <v>Steamed Rice</v>
      </c>
      <c r="D509" s="510">
        <v>180</v>
      </c>
      <c r="E509" s="505" t="str">
        <f>VLOOKUP(B509,[4]CK!$B$8:$L$87,9,)</f>
        <v>g</v>
      </c>
      <c r="F509" s="506">
        <f>VLOOKUP(B509,CK!$B$8:$L$87,10,)</f>
        <v>4.833333333333333</v>
      </c>
      <c r="G509" s="488">
        <f t="shared" si="133"/>
        <v>870</v>
      </c>
      <c r="H509" s="905"/>
      <c r="I509" s="905"/>
      <c r="J509" s="491">
        <f t="shared" si="134"/>
        <v>15480</v>
      </c>
      <c r="K509" s="501">
        <f t="shared" si="135"/>
        <v>1890</v>
      </c>
      <c r="L509" s="501">
        <f t="shared" si="136"/>
        <v>17370</v>
      </c>
      <c r="M509" s="493"/>
      <c r="N509" s="507"/>
      <c r="O509" s="449"/>
    </row>
    <row r="510" spans="2:15" ht="14.25" hidden="1" customHeight="1" outlineLevel="1">
      <c r="B510" s="523" t="s">
        <v>1341</v>
      </c>
      <c r="C510" s="15" t="str">
        <f>IFERROR(VLOOKUP(B510,MasterSheet!$B$6:$N$521,3,),"n/a")</f>
        <v>BB.Q Papertray</v>
      </c>
      <c r="D510" s="510">
        <v>1</v>
      </c>
      <c r="E510" s="505" t="str">
        <f>IFERROR(VLOOKUP(B510,[4]MasterSheet!$B$6:$N$515,10,),"N/a")</f>
        <v>ea</v>
      </c>
      <c r="F510" s="506">
        <f>IFERROR(VLOOKUP(B510,MasterSheet!$B$6:$N$521,11,),"N/a")</f>
        <v>600</v>
      </c>
      <c r="G510" s="488">
        <f t="shared" si="133"/>
        <v>600</v>
      </c>
      <c r="H510" s="905"/>
      <c r="I510" s="905"/>
      <c r="J510" s="491">
        <f>D510*$J$499</f>
        <v>86</v>
      </c>
      <c r="K510" s="501"/>
      <c r="L510" s="501">
        <f t="shared" si="136"/>
        <v>86</v>
      </c>
      <c r="M510" s="493"/>
      <c r="N510" s="507"/>
      <c r="O510" s="449"/>
    </row>
    <row r="511" spans="2:15" ht="14.25" hidden="1" customHeight="1" outlineLevel="1">
      <c r="B511" s="523" t="s">
        <v>1337</v>
      </c>
      <c r="C511" s="15" t="str">
        <f>IFERROR(VLOOKUP(B511,MasterSheet!$B$6:$N$521,3,),"n/a")</f>
        <v>BB.Q FOODPAIL L</v>
      </c>
      <c r="D511" s="510">
        <v>1</v>
      </c>
      <c r="E511" s="505" t="str">
        <f>IFERROR(VLOOKUP(B511,[4]MasterSheet!$B$6:$N$515,10,),"N/a")</f>
        <v>ea</v>
      </c>
      <c r="F511" s="506">
        <f>IFERROR(VLOOKUP(B511,MasterSheet!$B$6:$N$521,11,),"N/a")</f>
        <v>1238</v>
      </c>
      <c r="G511" s="488">
        <f t="shared" si="133"/>
        <v>1238</v>
      </c>
      <c r="H511" s="905"/>
      <c r="I511" s="905"/>
      <c r="J511" s="491"/>
      <c r="K511" s="501">
        <f>D511*$K$499</f>
        <v>10.5</v>
      </c>
      <c r="L511" s="501">
        <f t="shared" si="136"/>
        <v>10.5</v>
      </c>
      <c r="M511" s="493"/>
      <c r="N511" s="507"/>
      <c r="O511" s="449"/>
    </row>
    <row r="512" spans="2:15" ht="14.25" hidden="1" customHeight="1" outlineLevel="1">
      <c r="B512" s="523" t="s">
        <v>1365</v>
      </c>
      <c r="C512" s="15" t="str">
        <f>IFERROR(VLOOKUP(B512,MasterSheet!$B$6:$N$521,3,),"n/a")</f>
        <v>Drink Package(16oz)</v>
      </c>
      <c r="D512" s="510">
        <v>1</v>
      </c>
      <c r="E512" s="505" t="str">
        <f>IFERROR(VLOOKUP(B512,[4]MasterSheet!$B$6:$N$515,10,),"N/a")</f>
        <v>ea</v>
      </c>
      <c r="F512" s="506">
        <f>IFERROR(VLOOKUP(B512,MasterSheet!$B$6:$N$521,11,),"N/a")</f>
        <v>750</v>
      </c>
      <c r="G512" s="488">
        <f t="shared" si="133"/>
        <v>750</v>
      </c>
      <c r="H512" s="905"/>
      <c r="I512" s="905"/>
      <c r="J512" s="491">
        <f>D512*$J$499</f>
        <v>86</v>
      </c>
      <c r="K512" s="501">
        <f>D512*$K$499</f>
        <v>10.5</v>
      </c>
      <c r="L512" s="501">
        <f t="shared" si="136"/>
        <v>96.5</v>
      </c>
      <c r="M512" s="493"/>
      <c r="N512" s="507"/>
      <c r="O512" s="449"/>
    </row>
    <row r="513" spans="2:15" ht="14.25" hidden="1" customHeight="1" outlineLevel="1">
      <c r="B513" s="523" t="s">
        <v>1384</v>
      </c>
      <c r="C513" s="15" t="str">
        <f>IFERROR(VLOOKUP(B513,MasterSheet!$B$6:$N$521,3,),"n/a")</f>
        <v>DRINK PACKAGE LID(16OZ)</v>
      </c>
      <c r="D513" s="510">
        <v>1</v>
      </c>
      <c r="E513" s="505" t="str">
        <f>IFERROR(VLOOKUP(B513,[4]MasterSheet!$B$6:$N$515,10,),"N/a")</f>
        <v>ea</v>
      </c>
      <c r="F513" s="506">
        <f>IFERROR(VLOOKUP(B513,MasterSheet!$B$6:$N$521,11,),"N/a")</f>
        <v>200</v>
      </c>
      <c r="G513" s="488">
        <f t="shared" si="133"/>
        <v>200</v>
      </c>
      <c r="H513" s="905"/>
      <c r="I513" s="905"/>
      <c r="J513" s="491"/>
      <c r="K513" s="501">
        <f>D513*$K$499</f>
        <v>10.5</v>
      </c>
      <c r="L513" s="501">
        <f t="shared" si="136"/>
        <v>10.5</v>
      </c>
      <c r="M513" s="493"/>
      <c r="N513" s="507"/>
      <c r="O513" s="449"/>
    </row>
    <row r="514" spans="2:15" ht="14.65" hidden="1" customHeight="1" outlineLevel="1" thickBot="1">
      <c r="B514" s="524" t="s">
        <v>1150</v>
      </c>
      <c r="C514" s="512" t="str">
        <f>IFERROR(VLOOKUP(B514,MasterSheet!$B$6:$N$421,3,),"n/a")</f>
        <v>PARCHMENT PAPER / WRAPPING RICE</v>
      </c>
      <c r="D514" s="513">
        <v>2</v>
      </c>
      <c r="E514" s="514" t="str">
        <f>IFERROR(VLOOKUP(B514,[4]MasterSheet!B294:N885,10,),"N/a")</f>
        <v>N/a</v>
      </c>
      <c r="F514" s="515">
        <f>IFERROR(VLOOKUP(B514,MasterSheet!$B$6:$N$421,11,),"N/a")</f>
        <v>216.45</v>
      </c>
      <c r="G514" s="516">
        <f t="shared" si="133"/>
        <v>432.9</v>
      </c>
      <c r="H514" s="916"/>
      <c r="I514" s="916"/>
      <c r="J514" s="517">
        <f>D514*$J$499</f>
        <v>172</v>
      </c>
      <c r="K514" s="518">
        <f>D514*$K$499</f>
        <v>21</v>
      </c>
      <c r="L514" s="518">
        <f t="shared" si="136"/>
        <v>193</v>
      </c>
      <c r="M514" s="519"/>
      <c r="N514" s="520"/>
      <c r="O514" s="449"/>
    </row>
    <row r="515" spans="2:15" collapsed="1">
      <c r="B515" s="219" t="s">
        <v>1446</v>
      </c>
      <c r="C515" s="15" t="s">
        <v>1445</v>
      </c>
      <c r="D515" s="184">
        <f>E515*(1+$E$8)</f>
        <v>60500.000000000007</v>
      </c>
      <c r="E515" s="184">
        <v>55000</v>
      </c>
      <c r="F515" s="174">
        <f>H518</f>
        <v>19116.870667789</v>
      </c>
      <c r="G515" s="489">
        <f>I518</f>
        <v>19954.870667789</v>
      </c>
      <c r="H515" s="500">
        <f>F515/E515</f>
        <v>0.34757946668707274</v>
      </c>
      <c r="I515" s="500">
        <f>G515/E515</f>
        <v>0.36281583032343639</v>
      </c>
      <c r="J515" s="501">
        <f>VLOOKUP(B515,'SALES MIX'!B14:J104,4)</f>
        <v>23</v>
      </c>
      <c r="K515" s="501">
        <f>VLOOKUP(B515,'SALES MIX'!B14:J104,5)</f>
        <v>1</v>
      </c>
      <c r="L515" s="221">
        <f>((F515*J515)+(G515*K515))/((J515+K515)*E515)</f>
        <v>0.3482143151719212</v>
      </c>
      <c r="M515" s="493"/>
      <c r="N515" s="493"/>
      <c r="O515" s="449"/>
    </row>
    <row r="516" spans="2:15" ht="18" hidden="1" customHeight="1" outlineLevel="1">
      <c r="B516" s="913" t="s">
        <v>608</v>
      </c>
      <c r="C516" s="914" t="s">
        <v>1305</v>
      </c>
      <c r="D516" s="915" t="s">
        <v>1306</v>
      </c>
      <c r="E516" s="915" t="s">
        <v>60</v>
      </c>
      <c r="F516" s="915" t="s">
        <v>615</v>
      </c>
      <c r="G516" s="915" t="s">
        <v>755</v>
      </c>
      <c r="H516" s="907" t="s">
        <v>1312</v>
      </c>
      <c r="I516" s="907"/>
      <c r="J516" s="907" t="s">
        <v>1319</v>
      </c>
      <c r="K516" s="907"/>
      <c r="L516" s="908" t="s">
        <v>1313</v>
      </c>
      <c r="M516" s="907" t="s">
        <v>912</v>
      </c>
      <c r="N516" s="917"/>
      <c r="O516" s="449"/>
    </row>
    <row r="517" spans="2:15" ht="14.65" hidden="1" customHeight="1" outlineLevel="1" thickBot="1">
      <c r="B517" s="894"/>
      <c r="C517" s="896"/>
      <c r="D517" s="898"/>
      <c r="E517" s="898"/>
      <c r="F517" s="898"/>
      <c r="G517" s="898"/>
      <c r="H517" s="502" t="s">
        <v>1309</v>
      </c>
      <c r="I517" s="502" t="s">
        <v>1308</v>
      </c>
      <c r="J517" s="502" t="s">
        <v>1309</v>
      </c>
      <c r="K517" s="502" t="s">
        <v>1308</v>
      </c>
      <c r="L517" s="901"/>
      <c r="M517" s="903"/>
      <c r="N517" s="904"/>
      <c r="O517" s="449"/>
    </row>
    <row r="518" spans="2:15" ht="14.25" hidden="1" customHeight="1" outlineLevel="1">
      <c r="B518" s="504" t="s">
        <v>631</v>
      </c>
      <c r="C518" s="15" t="str">
        <f>IFERROR(VLOOKUP(B518,MasterSheet!$B$6:$N$150,3,),"n/a")</f>
        <v>Injected Whole Chicken (1.25kg)</v>
      </c>
      <c r="D518" s="499">
        <f>1250/9*2</f>
        <v>277.77777777777777</v>
      </c>
      <c r="E518" s="505" t="str">
        <f>IFERROR(VLOOKUP(B518,[4]MasterSheet!$B$6:$N$144,10,),"N/a")</f>
        <v>g</v>
      </c>
      <c r="F518" s="506">
        <f>IFERROR(VLOOKUP(B518,MasterSheet!$B$6:$N$150,11,),"N/a")</f>
        <v>34.314223999999996</v>
      </c>
      <c r="G518" s="488">
        <f>IFERROR(D518*F518,"_")</f>
        <v>9531.728888888887</v>
      </c>
      <c r="H518" s="905">
        <f>SUM(G518:G526,G528,G530)</f>
        <v>19116.870667789</v>
      </c>
      <c r="I518" s="905">
        <f>SUM(G518:G525,G527,G528,G530,G529)</f>
        <v>19954.870667789</v>
      </c>
      <c r="J518" s="491">
        <f>D518*$J$515</f>
        <v>6388.8888888888887</v>
      </c>
      <c r="K518" s="501">
        <f>D518*$K$515</f>
        <v>277.77777777777777</v>
      </c>
      <c r="L518" s="501">
        <f>SUM(J518:K518)</f>
        <v>6666.6666666666661</v>
      </c>
      <c r="M518" s="493"/>
      <c r="N518" s="507"/>
      <c r="O518" s="449"/>
    </row>
    <row r="519" spans="2:15" ht="14.25" hidden="1" customHeight="1" outlineLevel="1">
      <c r="B519" s="508" t="s">
        <v>664</v>
      </c>
      <c r="C519" s="15" t="str">
        <f>IFERROR(VLOOKUP(B519,MasterSheet!$B$6:$N$150,3,),"n/a")</f>
        <v>Mala Hot Sauce</v>
      </c>
      <c r="D519" s="499">
        <f>D518*12%</f>
        <v>33.333333333333329</v>
      </c>
      <c r="E519" s="505" t="str">
        <f>IFERROR(VLOOKUP(B519,[4]MasterSheet!$B$6:$N$144,10,),"N/a")</f>
        <v>g</v>
      </c>
      <c r="F519" s="506">
        <f>IFERROR(VLOOKUP(B519,MasterSheet!$B$6:$N$150,11,),"N/a")</f>
        <v>125.26041666666667</v>
      </c>
      <c r="G519" s="488">
        <f t="shared" ref="G519:G530" si="137">IFERROR(D519*F519,"_")</f>
        <v>4175.3472222222217</v>
      </c>
      <c r="H519" s="905"/>
      <c r="I519" s="905"/>
      <c r="J519" s="491">
        <f t="shared" ref="J519:J525" si="138">D519*$J$515</f>
        <v>766.66666666666652</v>
      </c>
      <c r="K519" s="501">
        <f t="shared" ref="K519:K525" si="139">D519*$K$515</f>
        <v>33.333333333333329</v>
      </c>
      <c r="L519" s="501">
        <f t="shared" ref="L519:L530" si="140">SUM(J519:K519)</f>
        <v>799.99999999999989</v>
      </c>
      <c r="M519" s="493"/>
      <c r="N519" s="507"/>
      <c r="O519" s="449"/>
    </row>
    <row r="520" spans="2:15" ht="14.25" hidden="1" customHeight="1" outlineLevel="1">
      <c r="B520" s="508" t="s">
        <v>999</v>
      </c>
      <c r="C520" s="15" t="str">
        <f>IFERROR(VLOOKUP(B520,MasterSheet!$B$6:$N$150,3,),"n/a")</f>
        <v>Palm Oil</v>
      </c>
      <c r="D520" s="499">
        <f>D518*0.1</f>
        <v>27.777777777777779</v>
      </c>
      <c r="E520" s="505" t="str">
        <f>IFERROR(VLOOKUP(B520,[4]MasterSheet!$B$6:$N$144,10,),"N/a")</f>
        <v>g</v>
      </c>
      <c r="F520" s="506">
        <f>IFERROR(VLOOKUP(B520,MasterSheet!$B$6:$N$150,11,),"N/a")</f>
        <v>25.580404040404041</v>
      </c>
      <c r="G520" s="488">
        <f t="shared" si="137"/>
        <v>710.56677890011224</v>
      </c>
      <c r="H520" s="905"/>
      <c r="I520" s="905"/>
      <c r="J520" s="491">
        <f t="shared" si="138"/>
        <v>638.88888888888891</v>
      </c>
      <c r="K520" s="501">
        <f t="shared" si="139"/>
        <v>27.777777777777779</v>
      </c>
      <c r="L520" s="501">
        <f t="shared" si="140"/>
        <v>666.66666666666674</v>
      </c>
      <c r="M520" s="493"/>
      <c r="N520" s="507"/>
      <c r="O520" s="449"/>
    </row>
    <row r="521" spans="2:15" ht="14.25" hidden="1" customHeight="1" outlineLevel="1">
      <c r="B521" s="508" t="s">
        <v>1108</v>
      </c>
      <c r="C521" s="15" t="str">
        <f>IFERROR(VLOOKUP(B521,MasterSheet!$B$6:$N$150,3,),"n/a")</f>
        <v>Crushed Peanut</v>
      </c>
      <c r="D521" s="499">
        <v>1</v>
      </c>
      <c r="E521" s="505" t="str">
        <f>IFERROR(VLOOKUP(B521,[4]MasterSheet!$B$6:$N$144,10,),"N/a")</f>
        <v>g</v>
      </c>
      <c r="F521" s="506">
        <f>IFERROR(VLOOKUP(B521,MasterSheet!$B$6:$N$150,11,),"N/a")</f>
        <v>62.525252525252526</v>
      </c>
      <c r="G521" s="488">
        <f t="shared" si="137"/>
        <v>62.525252525252526</v>
      </c>
      <c r="H521" s="905"/>
      <c r="I521" s="905"/>
      <c r="J521" s="491">
        <f t="shared" si="138"/>
        <v>23</v>
      </c>
      <c r="K521" s="501">
        <f t="shared" si="139"/>
        <v>1</v>
      </c>
      <c r="L521" s="501">
        <f t="shared" si="140"/>
        <v>24</v>
      </c>
      <c r="M521" s="493"/>
      <c r="N521" s="507"/>
      <c r="O521" s="449"/>
    </row>
    <row r="522" spans="2:15" ht="14.25" hidden="1" customHeight="1" outlineLevel="1">
      <c r="B522" s="508" t="s">
        <v>785</v>
      </c>
      <c r="C522" s="15" t="str">
        <f>IFERROR(VLOOKUP(B522,MasterSheet!$B$6:$N$150,3,),"n/a")</f>
        <v xml:space="preserve">Black Tea (w/water) </v>
      </c>
      <c r="D522" s="499">
        <v>250</v>
      </c>
      <c r="E522" s="505" t="str">
        <f>IFERROR(VLOOKUP(B522,[4]MasterSheet!$B$6:$N$144,10,),"N/a")</f>
        <v>g</v>
      </c>
      <c r="F522" s="506">
        <f>IFERROR(VLOOKUP(B522,MasterSheet!$B$6:$N$150,11,),"N/a")</f>
        <v>1.6818181818181819</v>
      </c>
      <c r="G522" s="488">
        <f t="shared" si="137"/>
        <v>420.4545454545455</v>
      </c>
      <c r="H522" s="905"/>
      <c r="I522" s="905"/>
      <c r="J522" s="491">
        <f t="shared" si="138"/>
        <v>5750</v>
      </c>
      <c r="K522" s="501">
        <f t="shared" si="139"/>
        <v>250</v>
      </c>
      <c r="L522" s="501">
        <f t="shared" si="140"/>
        <v>6000</v>
      </c>
      <c r="M522" s="493"/>
      <c r="N522" s="507"/>
      <c r="O522" s="449"/>
    </row>
    <row r="523" spans="2:15" ht="14.25" hidden="1" customHeight="1" outlineLevel="1">
      <c r="B523" s="508" t="s">
        <v>1029</v>
      </c>
      <c r="C523" s="15" t="str">
        <f>IFERROR(VLOOKUP(B523,MasterSheet!$B$6:$N$150,3,),"n/a")</f>
        <v>GIMBORI (Crispy Seaweed)</v>
      </c>
      <c r="D523" s="499">
        <v>1</v>
      </c>
      <c r="E523" s="505" t="str">
        <f>IFERROR(VLOOKUP(B523,[4]MasterSheet!$B$6:$N$144,10,),"N/a")</f>
        <v>g</v>
      </c>
      <c r="F523" s="506">
        <f>IFERROR(VLOOKUP(B523,MasterSheet!$B$6:$N$150,11,),"N/a")</f>
        <v>390.90909090909093</v>
      </c>
      <c r="G523" s="488">
        <f t="shared" si="137"/>
        <v>390.90909090909093</v>
      </c>
      <c r="H523" s="905"/>
      <c r="I523" s="905"/>
      <c r="J523" s="491">
        <f t="shared" si="138"/>
        <v>23</v>
      </c>
      <c r="K523" s="501">
        <f t="shared" si="139"/>
        <v>1</v>
      </c>
      <c r="L523" s="501">
        <f t="shared" si="140"/>
        <v>24</v>
      </c>
      <c r="M523" s="493"/>
      <c r="N523" s="507"/>
      <c r="O523" s="449"/>
    </row>
    <row r="524" spans="2:15" ht="14.25" hidden="1" customHeight="1" outlineLevel="1">
      <c r="B524" s="509" t="s">
        <v>568</v>
      </c>
      <c r="C524" s="15" t="str">
        <f>VLOOKUP(B524,CK!$B$8:$L$87,4,)</f>
        <v>Battering Powder Mix C Solution(Yellow)</v>
      </c>
      <c r="D524" s="510">
        <f>D518*0.21</f>
        <v>58.333333333333329</v>
      </c>
      <c r="E524" s="505" t="str">
        <f>VLOOKUP(B524,[4]CK!$B$8:$L$87,9,)</f>
        <v>g</v>
      </c>
      <c r="F524" s="506">
        <f>VLOOKUP(B524,CK!$B$8:$L$87,10,)</f>
        <v>23.80952380952381</v>
      </c>
      <c r="G524" s="488">
        <f t="shared" si="137"/>
        <v>1388.8888888888889</v>
      </c>
      <c r="H524" s="905"/>
      <c r="I524" s="905"/>
      <c r="J524" s="491">
        <f t="shared" si="138"/>
        <v>1341.6666666666665</v>
      </c>
      <c r="K524" s="501">
        <f t="shared" si="139"/>
        <v>58.333333333333329</v>
      </c>
      <c r="L524" s="501">
        <f t="shared" si="140"/>
        <v>1399.9999999999998</v>
      </c>
      <c r="M524" s="493"/>
      <c r="N524" s="507"/>
      <c r="O524" s="449"/>
    </row>
    <row r="525" spans="2:15" ht="14.25" hidden="1" customHeight="1" outlineLevel="1">
      <c r="B525" s="509" t="s">
        <v>1363</v>
      </c>
      <c r="C525" s="15" t="str">
        <f>VLOOKUP(B525,CK!$B$8:$L$87,4,)</f>
        <v>Steamed Rice</v>
      </c>
      <c r="D525" s="510">
        <v>180</v>
      </c>
      <c r="E525" s="505" t="str">
        <f>VLOOKUP(B525,[4]CK!$B$8:$L$87,9,)</f>
        <v>g</v>
      </c>
      <c r="F525" s="506">
        <f>VLOOKUP(B525,CK!$B$8:$L$87,10,)</f>
        <v>4.833333333333333</v>
      </c>
      <c r="G525" s="488">
        <f t="shared" si="137"/>
        <v>870</v>
      </c>
      <c r="H525" s="905"/>
      <c r="I525" s="905"/>
      <c r="J525" s="491">
        <f t="shared" si="138"/>
        <v>4140</v>
      </c>
      <c r="K525" s="501">
        <f t="shared" si="139"/>
        <v>180</v>
      </c>
      <c r="L525" s="501">
        <f t="shared" si="140"/>
        <v>4320</v>
      </c>
      <c r="M525" s="493"/>
      <c r="N525" s="507"/>
      <c r="O525" s="449"/>
    </row>
    <row r="526" spans="2:15" ht="14.25" hidden="1" customHeight="1" outlineLevel="1">
      <c r="B526" s="523" t="s">
        <v>1341</v>
      </c>
      <c r="C526" s="15" t="str">
        <f>IFERROR(VLOOKUP(B526,MasterSheet!$B$6:$N$521,3,),"n/a")</f>
        <v>BB.Q Papertray</v>
      </c>
      <c r="D526" s="510">
        <v>1</v>
      </c>
      <c r="E526" s="505" t="str">
        <f>IFERROR(VLOOKUP(B526,[4]MasterSheet!$B$6:$N$515,10,),"N/a")</f>
        <v>ea</v>
      </c>
      <c r="F526" s="506">
        <f>IFERROR(VLOOKUP(B526,MasterSheet!$B$6:$N$521,11,),"N/a")</f>
        <v>600</v>
      </c>
      <c r="G526" s="488">
        <f t="shared" si="137"/>
        <v>600</v>
      </c>
      <c r="H526" s="905"/>
      <c r="I526" s="905"/>
      <c r="J526" s="491">
        <f>D526*$J$515</f>
        <v>23</v>
      </c>
      <c r="K526" s="501"/>
      <c r="L526" s="501">
        <f t="shared" si="140"/>
        <v>23</v>
      </c>
      <c r="M526" s="493"/>
      <c r="N526" s="507"/>
      <c r="O526" s="449"/>
    </row>
    <row r="527" spans="2:15" ht="14.25" hidden="1" customHeight="1" outlineLevel="1">
      <c r="B527" s="523" t="s">
        <v>1337</v>
      </c>
      <c r="C527" s="15" t="str">
        <f>IFERROR(VLOOKUP(B527,MasterSheet!$B$6:$N$521,3,),"n/a")</f>
        <v>BB.Q FOODPAIL L</v>
      </c>
      <c r="D527" s="510">
        <v>1</v>
      </c>
      <c r="E527" s="505" t="str">
        <f>IFERROR(VLOOKUP(B527,[4]MasterSheet!$B$6:$N$515,10,),"N/a")</f>
        <v>ea</v>
      </c>
      <c r="F527" s="506">
        <f>IFERROR(VLOOKUP(B527,MasterSheet!$B$6:$N$521,11,),"N/a")</f>
        <v>1238</v>
      </c>
      <c r="G527" s="488">
        <f t="shared" si="137"/>
        <v>1238</v>
      </c>
      <c r="H527" s="905"/>
      <c r="I527" s="905"/>
      <c r="J527" s="491"/>
      <c r="K527" s="501">
        <f>D527*$K$515</f>
        <v>1</v>
      </c>
      <c r="L527" s="501">
        <f t="shared" si="140"/>
        <v>1</v>
      </c>
      <c r="M527" s="493"/>
      <c r="N527" s="507"/>
      <c r="O527" s="449"/>
    </row>
    <row r="528" spans="2:15" ht="14.25" hidden="1" customHeight="1" outlineLevel="1">
      <c r="B528" s="523" t="s">
        <v>1365</v>
      </c>
      <c r="C528" s="15" t="str">
        <f>IFERROR(VLOOKUP(B528,MasterSheet!$B$6:$N$521,3,),"n/a")</f>
        <v>Drink Package(16oz)</v>
      </c>
      <c r="D528" s="510">
        <v>1</v>
      </c>
      <c r="E528" s="505" t="str">
        <f>IFERROR(VLOOKUP(B528,[4]MasterSheet!$B$6:$N$515,10,),"N/a")</f>
        <v>ea</v>
      </c>
      <c r="F528" s="506">
        <f>IFERROR(VLOOKUP(B528,MasterSheet!$B$6:$N$521,11,),"N/a")</f>
        <v>750</v>
      </c>
      <c r="G528" s="488">
        <f t="shared" si="137"/>
        <v>750</v>
      </c>
      <c r="H528" s="905"/>
      <c r="I528" s="905"/>
      <c r="J528" s="491">
        <f>D528*$J$515</f>
        <v>23</v>
      </c>
      <c r="K528" s="501">
        <f>D528*$K$515</f>
        <v>1</v>
      </c>
      <c r="L528" s="501">
        <f t="shared" si="140"/>
        <v>24</v>
      </c>
      <c r="M528" s="493"/>
      <c r="N528" s="507"/>
      <c r="O528" s="449"/>
    </row>
    <row r="529" spans="2:15" ht="14.25" hidden="1" customHeight="1" outlineLevel="1">
      <c r="B529" s="523" t="s">
        <v>1384</v>
      </c>
      <c r="C529" s="15" t="str">
        <f>IFERROR(VLOOKUP(B529,MasterSheet!$B$6:$N$521,3,),"n/a")</f>
        <v>DRINK PACKAGE LID(16OZ)</v>
      </c>
      <c r="D529" s="510">
        <v>1</v>
      </c>
      <c r="E529" s="505" t="str">
        <f>IFERROR(VLOOKUP(B529,[4]MasterSheet!$B$6:$N$515,10,),"N/a")</f>
        <v>ea</v>
      </c>
      <c r="F529" s="506">
        <f>IFERROR(VLOOKUP(B529,MasterSheet!$B$6:$N$521,11,),"N/a")</f>
        <v>200</v>
      </c>
      <c r="G529" s="488">
        <f t="shared" si="137"/>
        <v>200</v>
      </c>
      <c r="H529" s="905"/>
      <c r="I529" s="905"/>
      <c r="J529" s="491"/>
      <c r="K529" s="501">
        <f>D529*$K$515</f>
        <v>1</v>
      </c>
      <c r="L529" s="501">
        <f t="shared" si="140"/>
        <v>1</v>
      </c>
      <c r="M529" s="493"/>
      <c r="N529" s="507"/>
      <c r="O529" s="449"/>
    </row>
    <row r="530" spans="2:15" ht="14.65" hidden="1" customHeight="1" outlineLevel="1" thickBot="1">
      <c r="B530" s="524" t="s">
        <v>1150</v>
      </c>
      <c r="C530" s="512" t="str">
        <f>IFERROR(VLOOKUP(B530,MasterSheet!$B$6:$N$421,3,),"n/a")</f>
        <v>PARCHMENT PAPER / WRAPPING RICE</v>
      </c>
      <c r="D530" s="513">
        <v>1</v>
      </c>
      <c r="E530" s="514" t="str">
        <f>IFERROR(VLOOKUP(B530,[4]MasterSheet!B310:N901,10,),"N/a")</f>
        <v>N/a</v>
      </c>
      <c r="F530" s="515">
        <f>IFERROR(VLOOKUP(B530,MasterSheet!$B$6:$N$421,11,),"N/a")</f>
        <v>216.45</v>
      </c>
      <c r="G530" s="516">
        <f t="shared" si="137"/>
        <v>216.45</v>
      </c>
      <c r="H530" s="916"/>
      <c r="I530" s="916"/>
      <c r="J530" s="517">
        <f>D530*$J$515</f>
        <v>23</v>
      </c>
      <c r="K530" s="518">
        <f>D530*$K$515</f>
        <v>1</v>
      </c>
      <c r="L530" s="518">
        <f t="shared" si="140"/>
        <v>24</v>
      </c>
      <c r="M530" s="519"/>
      <c r="N530" s="520"/>
      <c r="O530" s="449"/>
    </row>
    <row r="531" spans="2:15" collapsed="1">
      <c r="B531" s="219" t="s">
        <v>1447</v>
      </c>
      <c r="C531" s="15" t="s">
        <v>1449</v>
      </c>
      <c r="D531" s="184">
        <f>E531*(1+$E$8)</f>
        <v>60500.000000000007</v>
      </c>
      <c r="E531" s="184">
        <v>55000</v>
      </c>
      <c r="F531" s="174">
        <f>H534</f>
        <v>18721.725812991019</v>
      </c>
      <c r="G531" s="489">
        <f>I534</f>
        <v>19559.725812991019</v>
      </c>
      <c r="H531" s="500">
        <f>F531/E531</f>
        <v>0.3403950147816549</v>
      </c>
      <c r="I531" s="500">
        <f>G531/E531</f>
        <v>0.35563137841801851</v>
      </c>
      <c r="J531" s="501">
        <f>VLOOKUP(B531,'SALES MIX'!B14:J104,4)</f>
        <v>68</v>
      </c>
      <c r="K531" s="501">
        <f>VLOOKUP(B531,'SALES MIX'!B14:J104,5)</f>
        <v>17</v>
      </c>
      <c r="L531" s="221">
        <f>((F531*J531)+(G531*K531))/((J531+K531)*E531)</f>
        <v>0.34344228750892758</v>
      </c>
      <c r="M531" s="493"/>
      <c r="N531" s="493"/>
      <c r="O531" s="449"/>
    </row>
    <row r="532" spans="2:15" ht="14.65" hidden="1" customHeight="1" outlineLevel="1" thickTop="1">
      <c r="B532" s="913" t="s">
        <v>608</v>
      </c>
      <c r="C532" s="914" t="s">
        <v>1305</v>
      </c>
      <c r="D532" s="915" t="s">
        <v>1306</v>
      </c>
      <c r="E532" s="915" t="s">
        <v>60</v>
      </c>
      <c r="F532" s="915" t="s">
        <v>615</v>
      </c>
      <c r="G532" s="915" t="s">
        <v>755</v>
      </c>
      <c r="H532" s="907" t="s">
        <v>1312</v>
      </c>
      <c r="I532" s="907"/>
      <c r="J532" s="907" t="s">
        <v>1319</v>
      </c>
      <c r="K532" s="907"/>
      <c r="L532" s="908" t="s">
        <v>1313</v>
      </c>
      <c r="M532" s="907" t="s">
        <v>912</v>
      </c>
      <c r="N532" s="917"/>
      <c r="O532" s="449"/>
    </row>
    <row r="533" spans="2:15" ht="14.65" hidden="1" customHeight="1" outlineLevel="1" thickBot="1">
      <c r="B533" s="894"/>
      <c r="C533" s="896"/>
      <c r="D533" s="898"/>
      <c r="E533" s="898"/>
      <c r="F533" s="898"/>
      <c r="G533" s="898"/>
      <c r="H533" s="502" t="s">
        <v>1309</v>
      </c>
      <c r="I533" s="502" t="s">
        <v>1308</v>
      </c>
      <c r="J533" s="502" t="s">
        <v>1309</v>
      </c>
      <c r="K533" s="502" t="s">
        <v>1308</v>
      </c>
      <c r="L533" s="901"/>
      <c r="M533" s="903"/>
      <c r="N533" s="904"/>
      <c r="O533" s="449"/>
    </row>
    <row r="534" spans="2:15" ht="14.25" hidden="1" customHeight="1" outlineLevel="1">
      <c r="B534" s="504" t="s">
        <v>631</v>
      </c>
      <c r="C534" s="15" t="str">
        <f>IFERROR(VLOOKUP(B534,MasterSheet!$B$6:$N$150,3,),"n/a")</f>
        <v>Injected Whole Chicken (1.25kg)</v>
      </c>
      <c r="D534" s="499">
        <f>1250/9*2</f>
        <v>277.77777777777777</v>
      </c>
      <c r="E534" s="505" t="str">
        <f>IFERROR(VLOOKUP(B534,[4]MasterSheet!$B$6:$N$144,10,),"N/a")</f>
        <v>g</v>
      </c>
      <c r="F534" s="506">
        <f>IFERROR(VLOOKUP(B534,MasterSheet!$B$6:$N$150,11,),"N/a")</f>
        <v>34.314223999999996</v>
      </c>
      <c r="G534" s="488">
        <f>IFERROR(D534*F534,"_")</f>
        <v>9531.728888888887</v>
      </c>
      <c r="H534" s="905">
        <f>SUM(G534:G542,G544,G546)</f>
        <v>18721.725812991019</v>
      </c>
      <c r="I534" s="905">
        <f>SUM(G534:G541,G543,G544,G546,G545)</f>
        <v>19559.725812991019</v>
      </c>
      <c r="J534" s="491">
        <f>D534*$J$531</f>
        <v>18888.888888888887</v>
      </c>
      <c r="K534" s="501">
        <f>D534*$K$531</f>
        <v>4722.2222222222217</v>
      </c>
      <c r="L534" s="501">
        <f>SUM(J534:K534)</f>
        <v>23611.111111111109</v>
      </c>
      <c r="M534" s="493"/>
      <c r="N534" s="507"/>
      <c r="O534" s="449"/>
    </row>
    <row r="535" spans="2:15" ht="14.25" hidden="1" customHeight="1" outlineLevel="1">
      <c r="B535" s="508" t="s">
        <v>742</v>
      </c>
      <c r="C535" s="15" t="str">
        <f>IFERROR(VLOOKUP(B535,MasterSheet!$B$6:$N$150,3,),"n/a")</f>
        <v>Garlic Flavour Soy Sauce</v>
      </c>
      <c r="D535" s="499">
        <f>D534*11%</f>
        <v>30.555555555555554</v>
      </c>
      <c r="E535" s="505" t="str">
        <f>IFERROR(VLOOKUP(B535,[4]MasterSheet!$B$6:$N$144,10,),"N/a")</f>
        <v>g</v>
      </c>
      <c r="F535" s="506">
        <f>IFERROR(VLOOKUP(B535,MasterSheet!$B$6:$N$150,11,),"N/a")</f>
        <v>112.734375</v>
      </c>
      <c r="G535" s="488">
        <f t="shared" ref="G535:G546" si="141">IFERROR(D535*F535,"_")</f>
        <v>3444.661458333333</v>
      </c>
      <c r="H535" s="905"/>
      <c r="I535" s="905"/>
      <c r="J535" s="491">
        <f t="shared" ref="J535:J541" si="142">D535*$J$531</f>
        <v>2077.7777777777778</v>
      </c>
      <c r="K535" s="501">
        <f t="shared" ref="K535:K541" si="143">D535*$K$531</f>
        <v>519.44444444444446</v>
      </c>
      <c r="L535" s="501">
        <f t="shared" ref="L535:L546" si="144">SUM(J535:K535)</f>
        <v>2597.2222222222222</v>
      </c>
      <c r="M535" s="493"/>
      <c r="N535" s="507"/>
      <c r="O535" s="449"/>
    </row>
    <row r="536" spans="2:15" ht="14.25" hidden="1" customHeight="1" outlineLevel="1">
      <c r="B536" s="508" t="s">
        <v>999</v>
      </c>
      <c r="C536" s="15" t="str">
        <f>IFERROR(VLOOKUP(B536,MasterSheet!$B$6:$N$150,3,),"n/a")</f>
        <v>Palm Oil</v>
      </c>
      <c r="D536" s="499">
        <f>D534*0.1</f>
        <v>27.777777777777779</v>
      </c>
      <c r="E536" s="505" t="str">
        <f>IFERROR(VLOOKUP(B536,[4]MasterSheet!$B$6:$N$144,10,),"N/a")</f>
        <v>g</v>
      </c>
      <c r="F536" s="506">
        <f>IFERROR(VLOOKUP(B536,MasterSheet!$B$6:$N$150,11,),"N/a")</f>
        <v>25.580404040404041</v>
      </c>
      <c r="G536" s="488">
        <f t="shared" si="141"/>
        <v>710.56677890011224</v>
      </c>
      <c r="H536" s="905"/>
      <c r="I536" s="905"/>
      <c r="J536" s="491">
        <f t="shared" si="142"/>
        <v>1888.8888888888889</v>
      </c>
      <c r="K536" s="501">
        <f t="shared" si="143"/>
        <v>472.22222222222223</v>
      </c>
      <c r="L536" s="501">
        <f t="shared" si="144"/>
        <v>2361.1111111111113</v>
      </c>
      <c r="M536" s="493"/>
      <c r="N536" s="507"/>
      <c r="O536" s="449"/>
    </row>
    <row r="537" spans="2:15" ht="14.25" hidden="1" customHeight="1" outlineLevel="1">
      <c r="B537" s="508" t="s">
        <v>1004</v>
      </c>
      <c r="C537" s="15" t="str">
        <f>IFERROR(VLOOKUP(B537,MasterSheet!$B$6:$N$150,3,),"n/a")</f>
        <v>Garlic Chip</v>
      </c>
      <c r="D537" s="499">
        <v>2</v>
      </c>
      <c r="E537" s="505" t="str">
        <f>IFERROR(VLOOKUP(B537,[4]MasterSheet!$B$6:$N$144,10,),"N/a")</f>
        <v>g</v>
      </c>
      <c r="F537" s="506">
        <f>IFERROR(VLOOKUP(B537,MasterSheet!$B$6:$N$150,11,),"N/a")</f>
        <v>90.808080808080817</v>
      </c>
      <c r="G537" s="488">
        <f t="shared" si="141"/>
        <v>181.61616161616163</v>
      </c>
      <c r="H537" s="905"/>
      <c r="I537" s="905"/>
      <c r="J537" s="491">
        <f t="shared" si="142"/>
        <v>136</v>
      </c>
      <c r="K537" s="501">
        <f t="shared" si="143"/>
        <v>34</v>
      </c>
      <c r="L537" s="501">
        <f t="shared" si="144"/>
        <v>170</v>
      </c>
      <c r="M537" s="493"/>
      <c r="N537" s="507"/>
      <c r="O537" s="449"/>
    </row>
    <row r="538" spans="2:15" ht="14.25" hidden="1" customHeight="1" outlineLevel="1">
      <c r="B538" s="508" t="s">
        <v>785</v>
      </c>
      <c r="C538" s="15" t="str">
        <f>IFERROR(VLOOKUP(B538,MasterSheet!$B$6:$N$150,3,),"n/a")</f>
        <v xml:space="preserve">Black Tea (w/water) </v>
      </c>
      <c r="D538" s="499">
        <v>250</v>
      </c>
      <c r="E538" s="505" t="str">
        <f>IFERROR(VLOOKUP(B538,[4]MasterSheet!$B$6:$N$144,10,),"N/a")</f>
        <v>g</v>
      </c>
      <c r="F538" s="506">
        <f>IFERROR(VLOOKUP(B538,MasterSheet!$B$6:$N$150,11,),"N/a")</f>
        <v>1.6818181818181819</v>
      </c>
      <c r="G538" s="488">
        <f t="shared" si="141"/>
        <v>420.4545454545455</v>
      </c>
      <c r="H538" s="905"/>
      <c r="I538" s="905"/>
      <c r="J538" s="491">
        <f t="shared" si="142"/>
        <v>17000</v>
      </c>
      <c r="K538" s="501">
        <f t="shared" si="143"/>
        <v>4250</v>
      </c>
      <c r="L538" s="501">
        <f t="shared" si="144"/>
        <v>21250</v>
      </c>
      <c r="M538" s="493"/>
      <c r="N538" s="507"/>
      <c r="O538" s="449"/>
    </row>
    <row r="539" spans="2:15" ht="14.25" hidden="1" customHeight="1" outlineLevel="1">
      <c r="B539" s="508" t="s">
        <v>1029</v>
      </c>
      <c r="C539" s="15" t="str">
        <f>IFERROR(VLOOKUP(B539,MasterSheet!$B$6:$N$150,3,),"n/a")</f>
        <v>GIMBORI (Crispy Seaweed)</v>
      </c>
      <c r="D539" s="499">
        <v>1</v>
      </c>
      <c r="E539" s="505" t="str">
        <f>IFERROR(VLOOKUP(B539,[4]MasterSheet!$B$6:$N$144,10,),"N/a")</f>
        <v>g</v>
      </c>
      <c r="F539" s="506">
        <f>IFERROR(VLOOKUP(B539,MasterSheet!$B$6:$N$150,11,),"N/a")</f>
        <v>390.90909090909093</v>
      </c>
      <c r="G539" s="488">
        <f t="shared" si="141"/>
        <v>390.90909090909093</v>
      </c>
      <c r="H539" s="905"/>
      <c r="I539" s="905"/>
      <c r="J539" s="491">
        <f t="shared" si="142"/>
        <v>68</v>
      </c>
      <c r="K539" s="501">
        <f t="shared" si="143"/>
        <v>17</v>
      </c>
      <c r="L539" s="501">
        <f t="shared" si="144"/>
        <v>85</v>
      </c>
      <c r="M539" s="493"/>
      <c r="N539" s="507"/>
      <c r="O539" s="449"/>
    </row>
    <row r="540" spans="2:15" ht="14.25" hidden="1" customHeight="1" outlineLevel="1">
      <c r="B540" s="509" t="s">
        <v>568</v>
      </c>
      <c r="C540" s="15" t="str">
        <f>VLOOKUP(B540,CK!$B$8:$L$87,4,)</f>
        <v>Battering Powder Mix C Solution(Yellow)</v>
      </c>
      <c r="D540" s="510">
        <f>D534*0.21</f>
        <v>58.333333333333329</v>
      </c>
      <c r="E540" s="505" t="str">
        <f>VLOOKUP(B540,[4]CK!$B$8:$L$87,9,)</f>
        <v>g</v>
      </c>
      <c r="F540" s="506">
        <f>VLOOKUP(B540,CK!$B$8:$L$87,10,)</f>
        <v>23.80952380952381</v>
      </c>
      <c r="G540" s="488">
        <f t="shared" si="141"/>
        <v>1388.8888888888889</v>
      </c>
      <c r="H540" s="905"/>
      <c r="I540" s="905"/>
      <c r="J540" s="491">
        <f t="shared" si="142"/>
        <v>3966.6666666666665</v>
      </c>
      <c r="K540" s="501">
        <f t="shared" si="143"/>
        <v>991.66666666666663</v>
      </c>
      <c r="L540" s="501">
        <f t="shared" si="144"/>
        <v>4958.333333333333</v>
      </c>
      <c r="M540" s="493"/>
      <c r="N540" s="507"/>
      <c r="O540" s="449"/>
    </row>
    <row r="541" spans="2:15" ht="14.25" hidden="1" customHeight="1" outlineLevel="1">
      <c r="B541" s="509" t="s">
        <v>1363</v>
      </c>
      <c r="C541" s="15" t="str">
        <f>VLOOKUP(B541,CK!$B$8:$L$87,4,)</f>
        <v>Steamed Rice</v>
      </c>
      <c r="D541" s="510">
        <v>180</v>
      </c>
      <c r="E541" s="505" t="str">
        <f>VLOOKUP(B541,[4]CK!$B$8:$L$87,9,)</f>
        <v>g</v>
      </c>
      <c r="F541" s="506">
        <f>VLOOKUP(B541,CK!$B$8:$L$87,10,)</f>
        <v>4.833333333333333</v>
      </c>
      <c r="G541" s="488">
        <f t="shared" si="141"/>
        <v>870</v>
      </c>
      <c r="H541" s="905"/>
      <c r="I541" s="905"/>
      <c r="J541" s="491">
        <f t="shared" si="142"/>
        <v>12240</v>
      </c>
      <c r="K541" s="501">
        <f t="shared" si="143"/>
        <v>3060</v>
      </c>
      <c r="L541" s="501">
        <f t="shared" si="144"/>
        <v>15300</v>
      </c>
      <c r="M541" s="493"/>
      <c r="N541" s="507"/>
      <c r="O541" s="449"/>
    </row>
    <row r="542" spans="2:15" ht="14.25" hidden="1" customHeight="1" outlineLevel="1">
      <c r="B542" s="523" t="s">
        <v>1341</v>
      </c>
      <c r="C542" s="15" t="str">
        <f>IFERROR(VLOOKUP(B542,MasterSheet!$B$6:$N$521,3,),"n/a")</f>
        <v>BB.Q Papertray</v>
      </c>
      <c r="D542" s="510">
        <v>1</v>
      </c>
      <c r="E542" s="505" t="str">
        <f>IFERROR(VLOOKUP(B542,[4]MasterSheet!$B$6:$N$515,10,),"N/a")</f>
        <v>ea</v>
      </c>
      <c r="F542" s="506">
        <f>IFERROR(VLOOKUP(B542,MasterSheet!$B$6:$N$521,11,),"N/a")</f>
        <v>600</v>
      </c>
      <c r="G542" s="488">
        <f t="shared" si="141"/>
        <v>600</v>
      </c>
      <c r="H542" s="905"/>
      <c r="I542" s="905"/>
      <c r="J542" s="491">
        <f>D542*$J$531</f>
        <v>68</v>
      </c>
      <c r="K542" s="501"/>
      <c r="L542" s="501">
        <f t="shared" si="144"/>
        <v>68</v>
      </c>
      <c r="M542" s="493"/>
      <c r="N542" s="507"/>
      <c r="O542" s="449"/>
    </row>
    <row r="543" spans="2:15" ht="14.25" hidden="1" customHeight="1" outlineLevel="1">
      <c r="B543" s="523" t="s">
        <v>1337</v>
      </c>
      <c r="C543" s="15" t="str">
        <f>IFERROR(VLOOKUP(B543,MasterSheet!$B$6:$N$521,3,),"n/a")</f>
        <v>BB.Q FOODPAIL L</v>
      </c>
      <c r="D543" s="510">
        <v>1</v>
      </c>
      <c r="E543" s="505" t="str">
        <f>IFERROR(VLOOKUP(B543,[4]MasterSheet!$B$6:$N$515,10,),"N/a")</f>
        <v>ea</v>
      </c>
      <c r="F543" s="506">
        <f>IFERROR(VLOOKUP(B543,MasterSheet!$B$6:$N$521,11,),"N/a")</f>
        <v>1238</v>
      </c>
      <c r="G543" s="488">
        <f t="shared" si="141"/>
        <v>1238</v>
      </c>
      <c r="H543" s="905"/>
      <c r="I543" s="905"/>
      <c r="J543" s="491"/>
      <c r="K543" s="501">
        <f>D543*$K$531</f>
        <v>17</v>
      </c>
      <c r="L543" s="501">
        <f t="shared" si="144"/>
        <v>17</v>
      </c>
      <c r="M543" s="493"/>
      <c r="N543" s="507"/>
      <c r="O543" s="449"/>
    </row>
    <row r="544" spans="2:15" ht="14.25" hidden="1" customHeight="1" outlineLevel="1">
      <c r="B544" s="523" t="s">
        <v>1365</v>
      </c>
      <c r="C544" s="15" t="str">
        <f>IFERROR(VLOOKUP(B544,MasterSheet!$B$6:$N$521,3,),"n/a")</f>
        <v>Drink Package(16oz)</v>
      </c>
      <c r="D544" s="510">
        <v>1</v>
      </c>
      <c r="E544" s="505" t="str">
        <f>IFERROR(VLOOKUP(B544,[4]MasterSheet!$B$6:$N$515,10,),"N/a")</f>
        <v>ea</v>
      </c>
      <c r="F544" s="506">
        <f>IFERROR(VLOOKUP(B544,MasterSheet!$B$6:$N$521,11,),"N/a")</f>
        <v>750</v>
      </c>
      <c r="G544" s="488">
        <f t="shared" si="141"/>
        <v>750</v>
      </c>
      <c r="H544" s="905"/>
      <c r="I544" s="905"/>
      <c r="J544" s="491">
        <f>D544*$J$531</f>
        <v>68</v>
      </c>
      <c r="K544" s="501">
        <f>D544*$K$531</f>
        <v>17</v>
      </c>
      <c r="L544" s="501">
        <f t="shared" si="144"/>
        <v>85</v>
      </c>
      <c r="M544" s="493"/>
      <c r="N544" s="507"/>
      <c r="O544" s="449"/>
    </row>
    <row r="545" spans="2:15" ht="14.25" hidden="1" customHeight="1" outlineLevel="1">
      <c r="B545" s="523" t="s">
        <v>1384</v>
      </c>
      <c r="C545" s="15" t="str">
        <f>IFERROR(VLOOKUP(B545,MasterSheet!$B$6:$N$521,3,),"n/a")</f>
        <v>DRINK PACKAGE LID(16OZ)</v>
      </c>
      <c r="D545" s="510">
        <v>1</v>
      </c>
      <c r="E545" s="505" t="str">
        <f>IFERROR(VLOOKUP(B545,[4]MasterSheet!$B$6:$N$515,10,),"N/a")</f>
        <v>ea</v>
      </c>
      <c r="F545" s="506">
        <f>IFERROR(VLOOKUP(B545,MasterSheet!$B$6:$N$521,11,),"N/a")</f>
        <v>200</v>
      </c>
      <c r="G545" s="488">
        <f t="shared" si="141"/>
        <v>200</v>
      </c>
      <c r="H545" s="905"/>
      <c r="I545" s="905"/>
      <c r="J545" s="491"/>
      <c r="K545" s="501">
        <f>D545*$K$531</f>
        <v>17</v>
      </c>
      <c r="L545" s="501">
        <f t="shared" si="144"/>
        <v>17</v>
      </c>
      <c r="M545" s="493"/>
      <c r="N545" s="507"/>
      <c r="O545" s="449"/>
    </row>
    <row r="546" spans="2:15" ht="14.65" hidden="1" customHeight="1" outlineLevel="1" thickBot="1">
      <c r="B546" s="524" t="s">
        <v>1150</v>
      </c>
      <c r="C546" s="512" t="str">
        <f>IFERROR(VLOOKUP(B546,MasterSheet!$B$6:$N$421,3,),"n/a")</f>
        <v>PARCHMENT PAPER / WRAPPING RICE</v>
      </c>
      <c r="D546" s="513">
        <v>2</v>
      </c>
      <c r="E546" s="514" t="str">
        <f>IFERROR(VLOOKUP(B546,[4]MasterSheet!B326:N917,10,),"N/a")</f>
        <v>N/a</v>
      </c>
      <c r="F546" s="515">
        <f>IFERROR(VLOOKUP(B546,MasterSheet!$B$6:$N$421,11,),"N/a")</f>
        <v>216.45</v>
      </c>
      <c r="G546" s="516">
        <f t="shared" si="141"/>
        <v>432.9</v>
      </c>
      <c r="H546" s="916"/>
      <c r="I546" s="916"/>
      <c r="J546" s="517">
        <f>D546*$J$531</f>
        <v>136</v>
      </c>
      <c r="K546" s="518">
        <f>D546*$K$531</f>
        <v>34</v>
      </c>
      <c r="L546" s="518">
        <f t="shared" si="144"/>
        <v>170</v>
      </c>
      <c r="M546" s="519"/>
      <c r="N546" s="520"/>
      <c r="O546" s="449"/>
    </row>
    <row r="547" spans="2:15" collapsed="1">
      <c r="B547" s="219" t="s">
        <v>1452</v>
      </c>
      <c r="C547" s="15" t="s">
        <v>1451</v>
      </c>
      <c r="D547" s="184">
        <f>E547*(1+$E$8)</f>
        <v>60500.000000000007</v>
      </c>
      <c r="E547" s="184">
        <v>55000</v>
      </c>
      <c r="F547" s="174">
        <f>H550</f>
        <v>18870.006048182848</v>
      </c>
      <c r="G547" s="489">
        <f>I550</f>
        <v>19674.006048182848</v>
      </c>
      <c r="H547" s="500">
        <f>F547/E547</f>
        <v>0.34309101905786998</v>
      </c>
      <c r="I547" s="500">
        <f>G547/E547</f>
        <v>0.35770920087605179</v>
      </c>
      <c r="J547" s="501">
        <f>VLOOKUP(B547,'SALES MIX'!B14:J104,4)</f>
        <v>0</v>
      </c>
      <c r="K547" s="501">
        <f>VLOOKUP(B547,'SALES MIX'!B14:J104,5)</f>
        <v>0</v>
      </c>
      <c r="L547" s="221" t="e">
        <f>((F547*J547)+(G547*K547))/((J547+K547)*E547)</f>
        <v>#DIV/0!</v>
      </c>
      <c r="M547" s="493"/>
      <c r="N547" s="493"/>
      <c r="O547" s="449"/>
    </row>
    <row r="548" spans="2:15" ht="14.65" hidden="1" customHeight="1" outlineLevel="1" thickTop="1">
      <c r="B548" s="913" t="s">
        <v>608</v>
      </c>
      <c r="C548" s="914" t="s">
        <v>1305</v>
      </c>
      <c r="D548" s="915" t="s">
        <v>1306</v>
      </c>
      <c r="E548" s="915" t="s">
        <v>60</v>
      </c>
      <c r="F548" s="915" t="s">
        <v>615</v>
      </c>
      <c r="G548" s="915" t="s">
        <v>755</v>
      </c>
      <c r="H548" s="907" t="s">
        <v>1312</v>
      </c>
      <c r="I548" s="907"/>
      <c r="J548" s="907" t="s">
        <v>1319</v>
      </c>
      <c r="K548" s="907"/>
      <c r="L548" s="908" t="s">
        <v>1313</v>
      </c>
      <c r="M548" s="907" t="s">
        <v>912</v>
      </c>
      <c r="N548" s="917"/>
      <c r="O548" s="449"/>
    </row>
    <row r="549" spans="2:15" ht="14.65" hidden="1" customHeight="1" outlineLevel="1" thickBot="1">
      <c r="B549" s="894"/>
      <c r="C549" s="896"/>
      <c r="D549" s="898"/>
      <c r="E549" s="898"/>
      <c r="F549" s="898"/>
      <c r="G549" s="898"/>
      <c r="H549" s="502" t="s">
        <v>1309</v>
      </c>
      <c r="I549" s="502" t="s">
        <v>1308</v>
      </c>
      <c r="J549" s="502" t="s">
        <v>1309</v>
      </c>
      <c r="K549" s="502" t="s">
        <v>1308</v>
      </c>
      <c r="L549" s="901"/>
      <c r="M549" s="903"/>
      <c r="N549" s="904"/>
      <c r="O549" s="449"/>
    </row>
    <row r="550" spans="2:15" ht="14.25" hidden="1" customHeight="1" outlineLevel="1">
      <c r="B550" s="504" t="s">
        <v>631</v>
      </c>
      <c r="C550" s="15" t="str">
        <f>IFERROR(VLOOKUP(B550,MasterSheet!$B$6:$N$150,3,),"n/a")</f>
        <v>Injected Whole Chicken (1.25kg)</v>
      </c>
      <c r="D550" s="499">
        <f>1250/9*2</f>
        <v>277.77777777777777</v>
      </c>
      <c r="E550" s="505" t="str">
        <f>IFERROR(VLOOKUP(B550,[4]MasterSheet!$B$6:$N$144,10,),"N/a")</f>
        <v>g</v>
      </c>
      <c r="F550" s="506">
        <f>IFERROR(VLOOKUP(B550,MasterSheet!$B$6:$N$150,11,),"N/a")</f>
        <v>34.314223999999996</v>
      </c>
      <c r="G550" s="488">
        <f>IFERROR(D550*F550,"_")</f>
        <v>9531.728888888887</v>
      </c>
      <c r="H550" s="905">
        <f>SUM(G550:G558,G560,G562)</f>
        <v>18870.006048182848</v>
      </c>
      <c r="I550" s="905">
        <f>SUM(G550:G557,G559,G560,G562,G561)</f>
        <v>19674.006048182848</v>
      </c>
      <c r="J550" s="491">
        <f>D550*$J$547</f>
        <v>0</v>
      </c>
      <c r="K550" s="501">
        <f>D550*$K$547</f>
        <v>0</v>
      </c>
      <c r="L550" s="501">
        <f>SUM(J550:K550)</f>
        <v>0</v>
      </c>
      <c r="M550" s="493"/>
      <c r="N550" s="507"/>
      <c r="O550" s="449"/>
    </row>
    <row r="551" spans="2:15" ht="14.25" hidden="1" customHeight="1" outlineLevel="1">
      <c r="B551" s="508" t="s">
        <v>758</v>
      </c>
      <c r="C551" s="15" t="str">
        <f>IFERROR(VLOOKUP(B551,MasterSheet!$B$6:$N$150,3,),"n/a")</f>
        <v>Honey pepper Sauce</v>
      </c>
      <c r="D551" s="499">
        <f>D550*11%</f>
        <v>30.555555555555554</v>
      </c>
      <c r="E551" s="505" t="str">
        <f>IFERROR(VLOOKUP(B551,[4]MasterSheet!$B$6:$N$144,10,),"N/a")</f>
        <v>g</v>
      </c>
      <c r="F551" s="506">
        <f>IFERROR(VLOOKUP(B551,MasterSheet!$B$6:$N$150,11,),"N/a")</f>
        <v>118.99739583333333</v>
      </c>
      <c r="G551" s="488">
        <f t="shared" ref="G551:G562" si="145">IFERROR(D551*F551,"_")</f>
        <v>3636.0315393518513</v>
      </c>
      <c r="H551" s="905"/>
      <c r="I551" s="905"/>
      <c r="J551" s="491">
        <f t="shared" ref="J551:J557" si="146">D551*$J$547</f>
        <v>0</v>
      </c>
      <c r="K551" s="501">
        <f t="shared" ref="K551:K557" si="147">D551*$K$547</f>
        <v>0</v>
      </c>
      <c r="L551" s="501">
        <f t="shared" ref="L551:L562" si="148">SUM(J551:K551)</f>
        <v>0</v>
      </c>
      <c r="M551" s="493"/>
      <c r="N551" s="507"/>
      <c r="O551" s="449"/>
    </row>
    <row r="552" spans="2:15" ht="14.25" hidden="1" customHeight="1" outlineLevel="1">
      <c r="B552" s="508" t="s">
        <v>999</v>
      </c>
      <c r="C552" s="15" t="str">
        <f>IFERROR(VLOOKUP(B552,MasterSheet!$B$6:$N$150,3,),"n/a")</f>
        <v>Palm Oil</v>
      </c>
      <c r="D552" s="499">
        <f>D550*0.1</f>
        <v>27.777777777777779</v>
      </c>
      <c r="E552" s="505" t="str">
        <f>IFERROR(VLOOKUP(B552,[4]MasterSheet!$B$6:$N$144,10,),"N/a")</f>
        <v>g</v>
      </c>
      <c r="F552" s="506">
        <f>IFERROR(VLOOKUP(B552,MasterSheet!$B$6:$N$150,11,),"N/a")</f>
        <v>25.580404040404041</v>
      </c>
      <c r="G552" s="488">
        <f t="shared" si="145"/>
        <v>710.56677890011224</v>
      </c>
      <c r="H552" s="905"/>
      <c r="I552" s="905"/>
      <c r="J552" s="491">
        <f t="shared" si="146"/>
        <v>0</v>
      </c>
      <c r="K552" s="501">
        <f t="shared" si="147"/>
        <v>0</v>
      </c>
      <c r="L552" s="501">
        <f t="shared" si="148"/>
        <v>0</v>
      </c>
      <c r="M552" s="493"/>
      <c r="N552" s="507"/>
      <c r="O552" s="449"/>
    </row>
    <row r="553" spans="2:15" ht="14.25" hidden="1" customHeight="1" outlineLevel="1">
      <c r="B553" s="508" t="s">
        <v>672</v>
      </c>
      <c r="C553" s="15" t="str">
        <f>IFERROR(VLOOKUP(B553,MasterSheet!$B$6:$N$150,3,),"n/a")</f>
        <v>Scallion(Green Onion)</v>
      </c>
      <c r="D553" s="499">
        <v>5</v>
      </c>
      <c r="E553" s="505" t="str">
        <f>IFERROR(VLOOKUP(B553,[4]MasterSheet!$B$6:$N$144,10,),"N/a")</f>
        <v>g</v>
      </c>
      <c r="F553" s="506">
        <f>IFERROR(VLOOKUP(B553,MasterSheet!$B$6:$N$150,11,),"N/a")</f>
        <v>27.705263157894738</v>
      </c>
      <c r="G553" s="488">
        <f t="shared" si="145"/>
        <v>138.5263157894737</v>
      </c>
      <c r="H553" s="905"/>
      <c r="I553" s="905"/>
      <c r="J553" s="491">
        <f t="shared" si="146"/>
        <v>0</v>
      </c>
      <c r="K553" s="501">
        <f t="shared" si="147"/>
        <v>0</v>
      </c>
      <c r="L553" s="501">
        <f t="shared" si="148"/>
        <v>0</v>
      </c>
      <c r="M553" s="493"/>
      <c r="N553" s="507"/>
      <c r="O553" s="449"/>
    </row>
    <row r="554" spans="2:15" ht="14.25" hidden="1" customHeight="1" outlineLevel="1">
      <c r="B554" s="508" t="s">
        <v>785</v>
      </c>
      <c r="C554" s="15" t="str">
        <f>IFERROR(VLOOKUP(B554,MasterSheet!$B$6:$N$150,3,),"n/a")</f>
        <v xml:space="preserve">Black Tea (w/water) </v>
      </c>
      <c r="D554" s="499">
        <v>250</v>
      </c>
      <c r="E554" s="505" t="str">
        <f>IFERROR(VLOOKUP(B554,[4]MasterSheet!$B$6:$N$144,10,),"N/a")</f>
        <v>g</v>
      </c>
      <c r="F554" s="506">
        <f>IFERROR(VLOOKUP(B554,MasterSheet!$B$6:$N$150,11,),"N/a")</f>
        <v>1.6818181818181819</v>
      </c>
      <c r="G554" s="488">
        <f t="shared" si="145"/>
        <v>420.4545454545455</v>
      </c>
      <c r="H554" s="905"/>
      <c r="I554" s="905"/>
      <c r="J554" s="491">
        <f t="shared" si="146"/>
        <v>0</v>
      </c>
      <c r="K554" s="501">
        <f t="shared" si="147"/>
        <v>0</v>
      </c>
      <c r="L554" s="501">
        <f t="shared" si="148"/>
        <v>0</v>
      </c>
      <c r="M554" s="493"/>
      <c r="N554" s="507"/>
      <c r="O554" s="449"/>
    </row>
    <row r="555" spans="2:15" ht="14.25" hidden="1" customHeight="1" outlineLevel="1">
      <c r="B555" s="508" t="s">
        <v>1029</v>
      </c>
      <c r="C555" s="15" t="str">
        <f>IFERROR(VLOOKUP(B555,MasterSheet!$B$6:$N$150,3,),"n/a")</f>
        <v>GIMBORI (Crispy Seaweed)</v>
      </c>
      <c r="D555" s="499">
        <v>1</v>
      </c>
      <c r="E555" s="505" t="str">
        <f>IFERROR(VLOOKUP(B555,[4]MasterSheet!$B$6:$N$144,10,),"N/a")</f>
        <v>g</v>
      </c>
      <c r="F555" s="506">
        <f>IFERROR(VLOOKUP(B555,MasterSheet!$B$6:$N$150,11,),"N/a")</f>
        <v>390.90909090909093</v>
      </c>
      <c r="G555" s="488">
        <f t="shared" si="145"/>
        <v>390.90909090909093</v>
      </c>
      <c r="H555" s="905"/>
      <c r="I555" s="905"/>
      <c r="J555" s="491">
        <f t="shared" si="146"/>
        <v>0</v>
      </c>
      <c r="K555" s="501">
        <f t="shared" si="147"/>
        <v>0</v>
      </c>
      <c r="L555" s="501">
        <f t="shared" si="148"/>
        <v>0</v>
      </c>
      <c r="M555" s="493"/>
      <c r="N555" s="507"/>
      <c r="O555" s="449"/>
    </row>
    <row r="556" spans="2:15" ht="14.25" hidden="1" customHeight="1" outlineLevel="1">
      <c r="B556" s="509" t="s">
        <v>568</v>
      </c>
      <c r="C556" s="15" t="str">
        <f>VLOOKUP(B556,CK!$B$8:$L$87,4,)</f>
        <v>Battering Powder Mix C Solution(Yellow)</v>
      </c>
      <c r="D556" s="510">
        <f>D550*0.21</f>
        <v>58.333333333333329</v>
      </c>
      <c r="E556" s="505" t="str">
        <f>VLOOKUP(B556,[4]CK!$B$8:$L$87,9,)</f>
        <v>g</v>
      </c>
      <c r="F556" s="506">
        <f>VLOOKUP(B556,CK!$B$8:$L$87,10,)</f>
        <v>23.80952380952381</v>
      </c>
      <c r="G556" s="488">
        <f t="shared" si="145"/>
        <v>1388.8888888888889</v>
      </c>
      <c r="H556" s="905"/>
      <c r="I556" s="905"/>
      <c r="J556" s="491">
        <f t="shared" si="146"/>
        <v>0</v>
      </c>
      <c r="K556" s="501">
        <f t="shared" si="147"/>
        <v>0</v>
      </c>
      <c r="L556" s="501">
        <f t="shared" si="148"/>
        <v>0</v>
      </c>
      <c r="M556" s="493"/>
      <c r="N556" s="507"/>
      <c r="O556" s="449"/>
    </row>
    <row r="557" spans="2:15" ht="14.25" hidden="1" customHeight="1" outlineLevel="1">
      <c r="B557" s="509" t="s">
        <v>1363</v>
      </c>
      <c r="C557" s="15" t="str">
        <f>VLOOKUP(B557,CK!$B$8:$L$87,4,)</f>
        <v>Steamed Rice</v>
      </c>
      <c r="D557" s="510">
        <v>180</v>
      </c>
      <c r="E557" s="505" t="str">
        <f>VLOOKUP(B557,[4]CK!$B$8:$L$87,9,)</f>
        <v>g</v>
      </c>
      <c r="F557" s="506">
        <f>VLOOKUP(B557,CK!$B$8:$L$87,10,)</f>
        <v>4.833333333333333</v>
      </c>
      <c r="G557" s="488">
        <f t="shared" si="145"/>
        <v>870</v>
      </c>
      <c r="H557" s="905"/>
      <c r="I557" s="905"/>
      <c r="J557" s="491">
        <f t="shared" si="146"/>
        <v>0</v>
      </c>
      <c r="K557" s="501">
        <f t="shared" si="147"/>
        <v>0</v>
      </c>
      <c r="L557" s="501">
        <f t="shared" si="148"/>
        <v>0</v>
      </c>
      <c r="M557" s="493"/>
      <c r="N557" s="507"/>
      <c r="O557" s="449"/>
    </row>
    <row r="558" spans="2:15" ht="14.25" hidden="1" customHeight="1" outlineLevel="1">
      <c r="B558" s="523" t="s">
        <v>1341</v>
      </c>
      <c r="C558" s="15" t="str">
        <f>IFERROR(VLOOKUP(B558,MasterSheet!$B$6:$N$521,3,),"n/a")</f>
        <v>BB.Q Papertray</v>
      </c>
      <c r="D558" s="510">
        <v>1</v>
      </c>
      <c r="E558" s="505" t="str">
        <f>IFERROR(VLOOKUP(B558,[4]MasterSheet!$B$6:$N$515,10,),"N/a")</f>
        <v>ea</v>
      </c>
      <c r="F558" s="506">
        <f>IFERROR(VLOOKUP(B558,MasterSheet!$B$6:$N$521,11,),"N/a")</f>
        <v>600</v>
      </c>
      <c r="G558" s="488">
        <f t="shared" si="145"/>
        <v>600</v>
      </c>
      <c r="H558" s="905"/>
      <c r="I558" s="905"/>
      <c r="J558" s="491">
        <f>D558*$J$547</f>
        <v>0</v>
      </c>
      <c r="K558" s="501"/>
      <c r="L558" s="501">
        <f t="shared" si="148"/>
        <v>0</v>
      </c>
      <c r="M558" s="493"/>
      <c r="N558" s="507"/>
      <c r="O558" s="449"/>
    </row>
    <row r="559" spans="2:15" ht="14.25" hidden="1" customHeight="1" outlineLevel="1">
      <c r="B559" s="523" t="s">
        <v>1335</v>
      </c>
      <c r="C559" s="15" t="str">
        <f>IFERROR(VLOOKUP(B559,MasterSheet!$B$6:$N$521,3,),"n/a")</f>
        <v xml:space="preserve">BB.Q FOODPAIL M </v>
      </c>
      <c r="D559" s="510">
        <v>1</v>
      </c>
      <c r="E559" s="505" t="str">
        <f>IFERROR(VLOOKUP(B559,[4]MasterSheet!$B$6:$N$515,10,),"N/a")</f>
        <v>ea</v>
      </c>
      <c r="F559" s="506">
        <f>IFERROR(VLOOKUP(B559,MasterSheet!$B$6:$N$521,11,),"N/a")</f>
        <v>1204</v>
      </c>
      <c r="G559" s="488">
        <f t="shared" si="145"/>
        <v>1204</v>
      </c>
      <c r="H559" s="905"/>
      <c r="I559" s="905"/>
      <c r="J559" s="491"/>
      <c r="K559" s="501">
        <f>D559*$K$547</f>
        <v>0</v>
      </c>
      <c r="L559" s="501">
        <f t="shared" si="148"/>
        <v>0</v>
      </c>
      <c r="M559" s="493"/>
      <c r="N559" s="507"/>
      <c r="O559" s="449"/>
    </row>
    <row r="560" spans="2:15" ht="14.25" hidden="1" customHeight="1" outlineLevel="1">
      <c r="B560" s="523" t="s">
        <v>1365</v>
      </c>
      <c r="C560" s="15" t="str">
        <f>IFERROR(VLOOKUP(B560,MasterSheet!$B$6:$N$521,3,),"n/a")</f>
        <v>Drink Package(16oz)</v>
      </c>
      <c r="D560" s="510">
        <v>1</v>
      </c>
      <c r="E560" s="505" t="str">
        <f>IFERROR(VLOOKUP(B560,[4]MasterSheet!$B$6:$N$515,10,),"N/a")</f>
        <v>ea</v>
      </c>
      <c r="F560" s="506">
        <f>IFERROR(VLOOKUP(B560,MasterSheet!$B$6:$N$521,11,),"N/a")</f>
        <v>750</v>
      </c>
      <c r="G560" s="488">
        <f t="shared" si="145"/>
        <v>750</v>
      </c>
      <c r="H560" s="905"/>
      <c r="I560" s="905"/>
      <c r="J560" s="491">
        <f>D560*$J$547</f>
        <v>0</v>
      </c>
      <c r="K560" s="501">
        <f>D560*$K$547</f>
        <v>0</v>
      </c>
      <c r="L560" s="501">
        <f t="shared" si="148"/>
        <v>0</v>
      </c>
      <c r="M560" s="493"/>
      <c r="N560" s="507"/>
      <c r="O560" s="449"/>
    </row>
    <row r="561" spans="2:15" ht="14.25" hidden="1" customHeight="1" outlineLevel="1">
      <c r="B561" s="523" t="s">
        <v>1384</v>
      </c>
      <c r="C561" s="15" t="str">
        <f>IFERROR(VLOOKUP(B561,MasterSheet!$B$6:$N$521,3,),"n/a")</f>
        <v>DRINK PACKAGE LID(16OZ)</v>
      </c>
      <c r="D561" s="510">
        <v>1</v>
      </c>
      <c r="E561" s="505" t="str">
        <f>IFERROR(VLOOKUP(B561,[4]MasterSheet!$B$6:$N$515,10,),"N/a")</f>
        <v>ea</v>
      </c>
      <c r="F561" s="506">
        <f>IFERROR(VLOOKUP(B561,MasterSheet!$B$6:$N$521,11,),"N/a")</f>
        <v>200</v>
      </c>
      <c r="G561" s="488">
        <f t="shared" si="145"/>
        <v>200</v>
      </c>
      <c r="H561" s="905"/>
      <c r="I561" s="905"/>
      <c r="J561" s="491"/>
      <c r="K561" s="501">
        <f>D561*$K$547</f>
        <v>0</v>
      </c>
      <c r="L561" s="501">
        <f t="shared" si="148"/>
        <v>0</v>
      </c>
      <c r="M561" s="493"/>
      <c r="N561" s="507"/>
      <c r="O561" s="449"/>
    </row>
    <row r="562" spans="2:15" ht="14.65" hidden="1" customHeight="1" outlineLevel="1" thickBot="1">
      <c r="B562" s="524" t="s">
        <v>1150</v>
      </c>
      <c r="C562" s="512" t="str">
        <f>IFERROR(VLOOKUP(B562,MasterSheet!$B$6:$N$421,3,),"n/a")</f>
        <v>PARCHMENT PAPER / WRAPPING RICE</v>
      </c>
      <c r="D562" s="513">
        <v>2</v>
      </c>
      <c r="E562" s="514" t="str">
        <f>IFERROR(VLOOKUP(B562,[4]MasterSheet!B342:N933,10,),"N/a")</f>
        <v>N/a</v>
      </c>
      <c r="F562" s="515">
        <f>IFERROR(VLOOKUP(B562,MasterSheet!$B$6:$N$421,11,),"N/a")</f>
        <v>216.45</v>
      </c>
      <c r="G562" s="516">
        <f t="shared" si="145"/>
        <v>432.9</v>
      </c>
      <c r="H562" s="916"/>
      <c r="I562" s="916"/>
      <c r="J562" s="517">
        <f>D562*$J$547</f>
        <v>0</v>
      </c>
      <c r="K562" s="518">
        <f>D562*$K$547</f>
        <v>0</v>
      </c>
      <c r="L562" s="518">
        <f t="shared" si="148"/>
        <v>0</v>
      </c>
      <c r="M562" s="519"/>
      <c r="N562" s="520"/>
      <c r="O562" s="449"/>
    </row>
    <row r="563" spans="2:15" collapsed="1">
      <c r="B563" s="219" t="s">
        <v>1453</v>
      </c>
      <c r="C563" s="15" t="s">
        <v>1455</v>
      </c>
      <c r="D563" s="184">
        <f>E563*(1+$E$8)</f>
        <v>59400.000000000007</v>
      </c>
      <c r="E563" s="184">
        <v>54000</v>
      </c>
      <c r="F563" s="174">
        <f>H566</f>
        <v>23509.016398303425</v>
      </c>
      <c r="G563" s="489">
        <f>I566</f>
        <v>24549.016398303425</v>
      </c>
      <c r="H563" s="500">
        <f>F563/E563</f>
        <v>0.43535215552413753</v>
      </c>
      <c r="I563" s="500">
        <f>G563/E563</f>
        <v>0.45461141478339678</v>
      </c>
      <c r="J563" s="501">
        <f>VLOOKUP(B563,'SALES MIX'!B14:J104,4)</f>
        <v>13</v>
      </c>
      <c r="K563" s="501">
        <f>VLOOKUP(B563,'SALES MIX'!B14:J104,5)</f>
        <v>5</v>
      </c>
      <c r="L563" s="221">
        <f>((F563*J563)+(G563*K563))/((J563+K563)*E563)</f>
        <v>0.44070194976282062</v>
      </c>
      <c r="M563" s="493"/>
      <c r="N563" s="493"/>
      <c r="O563" s="449"/>
    </row>
    <row r="564" spans="2:15" ht="14.65" hidden="1" customHeight="1" outlineLevel="1" thickTop="1">
      <c r="B564" s="913" t="s">
        <v>608</v>
      </c>
      <c r="C564" s="914" t="s">
        <v>1305</v>
      </c>
      <c r="D564" s="915" t="s">
        <v>1306</v>
      </c>
      <c r="E564" s="915" t="s">
        <v>60</v>
      </c>
      <c r="F564" s="915" t="s">
        <v>615</v>
      </c>
      <c r="G564" s="915" t="s">
        <v>755</v>
      </c>
      <c r="H564" s="907" t="s">
        <v>1312</v>
      </c>
      <c r="I564" s="907"/>
      <c r="J564" s="907" t="s">
        <v>1319</v>
      </c>
      <c r="K564" s="907"/>
      <c r="L564" s="908" t="s">
        <v>1313</v>
      </c>
      <c r="M564" s="907" t="s">
        <v>912</v>
      </c>
      <c r="N564" s="917"/>
      <c r="O564" s="449"/>
    </row>
    <row r="565" spans="2:15" ht="14.65" hidden="1" customHeight="1" outlineLevel="1" thickBot="1">
      <c r="B565" s="894"/>
      <c r="C565" s="896"/>
      <c r="D565" s="898"/>
      <c r="E565" s="898"/>
      <c r="F565" s="898"/>
      <c r="G565" s="898"/>
      <c r="H565" s="502" t="s">
        <v>1309</v>
      </c>
      <c r="I565" s="502" t="s">
        <v>1308</v>
      </c>
      <c r="J565" s="502" t="s">
        <v>1309</v>
      </c>
      <c r="K565" s="502" t="s">
        <v>1308</v>
      </c>
      <c r="L565" s="901"/>
      <c r="M565" s="903"/>
      <c r="N565" s="904"/>
      <c r="O565" s="449"/>
    </row>
    <row r="566" spans="2:15" ht="14.25" hidden="1" customHeight="1" outlineLevel="1">
      <c r="B566" s="504" t="s">
        <v>631</v>
      </c>
      <c r="C566" s="15" t="str">
        <f>IFERROR(VLOOKUP(B566,MasterSheet!$B$6:$N$150,3,),"n/a")</f>
        <v>Injected Whole Chicken (1.25kg)</v>
      </c>
      <c r="D566" s="499">
        <f>1250/9*2</f>
        <v>277.77777777777777</v>
      </c>
      <c r="E566" s="505" t="str">
        <f>IFERROR(VLOOKUP(B566,[4]MasterSheet!$B$6:$N$144,10,),"N/a")</f>
        <v>g</v>
      </c>
      <c r="F566" s="506">
        <f>IFERROR(VLOOKUP(B566,MasterSheet!$B$6:$N$150,11,),"N/a")</f>
        <v>34.314223999999996</v>
      </c>
      <c r="G566" s="488">
        <f>IFERROR(D566*F566,"_")</f>
        <v>9531.728888888887</v>
      </c>
      <c r="H566" s="905">
        <f>SUM(G566:G574,G576,G580,G578)</f>
        <v>23509.016398303425</v>
      </c>
      <c r="I566" s="905">
        <f>SUM(G566:G573,G575,G576,G580,G577,G579)</f>
        <v>24549.016398303425</v>
      </c>
      <c r="J566" s="491">
        <f>D566*$J$563</f>
        <v>3611.1111111111109</v>
      </c>
      <c r="K566" s="501">
        <f>D566*$K$563</f>
        <v>1388.8888888888889</v>
      </c>
      <c r="L566" s="501">
        <f>SUM(J566:K566)</f>
        <v>5000</v>
      </c>
      <c r="M566" s="493"/>
      <c r="N566" s="507"/>
      <c r="O566" s="449"/>
    </row>
    <row r="567" spans="2:15" ht="14.25" hidden="1" customHeight="1" outlineLevel="1">
      <c r="B567" s="508" t="s">
        <v>757</v>
      </c>
      <c r="C567" s="15" t="str">
        <f>IFERROR(VLOOKUP(B567,MasterSheet!$B$6:$N$150,3,),"n/a")</f>
        <v xml:space="preserve">Marinade Powder Mix </v>
      </c>
      <c r="D567" s="499">
        <f>D566*0.012</f>
        <v>3.3333333333333335</v>
      </c>
      <c r="E567" s="505" t="str">
        <f>IFERROR(VLOOKUP(B567,[4]MasterSheet!$B$6:$N$144,10,),"N/a")</f>
        <v>g</v>
      </c>
      <c r="F567" s="506">
        <f>IFERROR(VLOOKUP(B567,MasterSheet!$B$6:$N$150,11,),"N/a")</f>
        <v>117.51275510204081</v>
      </c>
      <c r="G567" s="488">
        <f t="shared" ref="G567:G580" si="149">IFERROR(D567*F567,"_")</f>
        <v>391.7091836734694</v>
      </c>
      <c r="H567" s="905"/>
      <c r="I567" s="905"/>
      <c r="J567" s="491">
        <f t="shared" ref="J567:J573" si="150">D567*$J$563</f>
        <v>43.333333333333336</v>
      </c>
      <c r="K567" s="501">
        <f t="shared" ref="K567:K573" si="151">D567*$K$563</f>
        <v>16.666666666666668</v>
      </c>
      <c r="L567" s="501">
        <f t="shared" ref="L567:L579" si="152">SUM(J567:K567)</f>
        <v>60</v>
      </c>
      <c r="M567" s="493"/>
      <c r="N567" s="507"/>
      <c r="O567" s="449"/>
    </row>
    <row r="568" spans="2:15" ht="14.25" hidden="1" customHeight="1" outlineLevel="1">
      <c r="B568" s="508" t="s">
        <v>4</v>
      </c>
      <c r="C568" s="15" t="str">
        <f>IFERROR(VLOOKUP(B568,MasterSheet!$B$6:$N$150,3,),"n/a")</f>
        <v>Battering Powder Mix</v>
      </c>
      <c r="D568" s="499">
        <f>D566*0.175</f>
        <v>48.611111111111107</v>
      </c>
      <c r="E568" s="505" t="str">
        <f>IFERROR(VLOOKUP(B568,[4]MasterSheet!$B$6:$N$144,10,),"N/a")</f>
        <v>g</v>
      </c>
      <c r="F568" s="506">
        <f>IFERROR(VLOOKUP(B568,MasterSheet!$B$6:$N$150,11,),"N/a")</f>
        <v>81.617647058823536</v>
      </c>
      <c r="G568" s="488">
        <f t="shared" si="149"/>
        <v>3967.5245098039218</v>
      </c>
      <c r="H568" s="905"/>
      <c r="I568" s="905"/>
      <c r="J568" s="491">
        <f t="shared" si="150"/>
        <v>631.94444444444434</v>
      </c>
      <c r="K568" s="501">
        <f t="shared" si="151"/>
        <v>243.05555555555554</v>
      </c>
      <c r="L568" s="501">
        <f t="shared" si="152"/>
        <v>874.99999999999989</v>
      </c>
      <c r="M568" s="493"/>
      <c r="N568" s="507"/>
      <c r="O568" s="449"/>
    </row>
    <row r="569" spans="2:15" ht="14.25" hidden="1" customHeight="1" outlineLevel="1">
      <c r="B569" s="508" t="s">
        <v>999</v>
      </c>
      <c r="C569" s="15" t="str">
        <f>IFERROR(VLOOKUP(B569,MasterSheet!$B$6:$N$150,3,),"n/a")</f>
        <v>Palm Oil</v>
      </c>
      <c r="D569" s="499">
        <f>D566*0.1</f>
        <v>27.777777777777779</v>
      </c>
      <c r="E569" s="505" t="str">
        <f>IFERROR(VLOOKUP(B569,[4]MasterSheet!$B$6:$N$144,10,),"N/a")</f>
        <v>g</v>
      </c>
      <c r="F569" s="506">
        <f>IFERROR(VLOOKUP(B569,MasterSheet!$B$6:$N$150,11,),"N/a")</f>
        <v>25.580404040404041</v>
      </c>
      <c r="G569" s="488">
        <f t="shared" si="149"/>
        <v>710.56677890011224</v>
      </c>
      <c r="H569" s="905"/>
      <c r="I569" s="905"/>
      <c r="J569" s="491">
        <f t="shared" si="150"/>
        <v>361.11111111111114</v>
      </c>
      <c r="K569" s="501">
        <f t="shared" si="151"/>
        <v>138.88888888888889</v>
      </c>
      <c r="L569" s="501">
        <f t="shared" si="152"/>
        <v>500</v>
      </c>
      <c r="M569" s="493"/>
      <c r="N569" s="507"/>
      <c r="O569" s="449"/>
    </row>
    <row r="570" spans="2:15" ht="14.25" hidden="1" customHeight="1" outlineLevel="1">
      <c r="B570" s="508" t="s">
        <v>785</v>
      </c>
      <c r="C570" s="15" t="str">
        <f>IFERROR(VLOOKUP(B570,MasterSheet!$B$6:$N$150,3,),"n/a")</f>
        <v xml:space="preserve">Black Tea (w/water) </v>
      </c>
      <c r="D570" s="499">
        <v>250</v>
      </c>
      <c r="E570" s="505" t="str">
        <f>IFERROR(VLOOKUP(B570,[4]MasterSheet!$B$6:$N$144,10,),"N/a")</f>
        <v>g</v>
      </c>
      <c r="F570" s="506">
        <f>IFERROR(VLOOKUP(B570,MasterSheet!$B$6:$N$150,11,),"N/a")</f>
        <v>1.6818181818181819</v>
      </c>
      <c r="G570" s="488">
        <f t="shared" si="149"/>
        <v>420.4545454545455</v>
      </c>
      <c r="H570" s="905"/>
      <c r="I570" s="905"/>
      <c r="J570" s="491">
        <f t="shared" si="150"/>
        <v>3250</v>
      </c>
      <c r="K570" s="501">
        <f t="shared" si="151"/>
        <v>1250</v>
      </c>
      <c r="L570" s="501">
        <f t="shared" si="152"/>
        <v>4500</v>
      </c>
      <c r="M570" s="493"/>
      <c r="N570" s="507"/>
      <c r="O570" s="449"/>
    </row>
    <row r="571" spans="2:15" ht="14.25" hidden="1" customHeight="1" outlineLevel="1">
      <c r="B571" s="508" t="s">
        <v>1029</v>
      </c>
      <c r="C571" s="15" t="str">
        <f>IFERROR(VLOOKUP(B571,MasterSheet!$B$6:$N$150,3,),"n/a")</f>
        <v>GIMBORI (Crispy Seaweed)</v>
      </c>
      <c r="D571" s="499">
        <v>1</v>
      </c>
      <c r="E571" s="505" t="str">
        <f>IFERROR(VLOOKUP(B571,[4]MasterSheet!$B$6:$N$144,10,),"N/a")</f>
        <v>g</v>
      </c>
      <c r="F571" s="506">
        <f>IFERROR(VLOOKUP(B571,MasterSheet!$B$6:$N$150,11,),"N/a")</f>
        <v>390.90909090909093</v>
      </c>
      <c r="G571" s="488">
        <f t="shared" si="149"/>
        <v>390.90909090909093</v>
      </c>
      <c r="H571" s="905"/>
      <c r="I571" s="905"/>
      <c r="J571" s="491">
        <f t="shared" si="150"/>
        <v>13</v>
      </c>
      <c r="K571" s="501">
        <f t="shared" si="151"/>
        <v>5</v>
      </c>
      <c r="L571" s="501">
        <f t="shared" si="152"/>
        <v>18</v>
      </c>
      <c r="M571" s="493"/>
      <c r="N571" s="507"/>
      <c r="O571" s="449"/>
    </row>
    <row r="572" spans="2:15" ht="14.25" hidden="1" customHeight="1" outlineLevel="1">
      <c r="B572" s="509" t="s">
        <v>567</v>
      </c>
      <c r="C572" s="15" t="str">
        <f>VLOOKUP(B572,CK!$B$8:$L$87,4,)</f>
        <v>Battering Powder Mix Solution(White)</v>
      </c>
      <c r="D572" s="510">
        <f>D566*0.2</f>
        <v>55.555555555555557</v>
      </c>
      <c r="E572" s="505" t="str">
        <f>VLOOKUP(B572,[4]CK!$B$8:$L$87,9,)</f>
        <v>g</v>
      </c>
      <c r="F572" s="506">
        <f>VLOOKUP(B572,CK!$B$8:$L$87,10,)</f>
        <v>30.23</v>
      </c>
      <c r="G572" s="488">
        <f t="shared" si="149"/>
        <v>1679.4444444444446</v>
      </c>
      <c r="H572" s="905"/>
      <c r="I572" s="905"/>
      <c r="J572" s="491">
        <f t="shared" si="150"/>
        <v>722.22222222222229</v>
      </c>
      <c r="K572" s="501">
        <f t="shared" si="151"/>
        <v>277.77777777777777</v>
      </c>
      <c r="L572" s="501">
        <f t="shared" si="152"/>
        <v>1000</v>
      </c>
      <c r="M572" s="493"/>
      <c r="N572" s="507"/>
      <c r="O572" s="449"/>
    </row>
    <row r="573" spans="2:15" ht="14.25" hidden="1" customHeight="1" outlineLevel="1">
      <c r="B573" s="509" t="s">
        <v>1117</v>
      </c>
      <c r="C573" s="15" t="str">
        <f>VLOOKUP(B573,CK!$B$8:$L$87,4,)</f>
        <v>French Fries</v>
      </c>
      <c r="D573" s="510">
        <v>100</v>
      </c>
      <c r="E573" s="505" t="str">
        <f>VLOOKUP(B573,[4]CK!$B$8:$L$87,9,)</f>
        <v>g</v>
      </c>
      <c r="F573" s="506">
        <f>VLOOKUP(B573,CK!$B$8:$L$87,10,)</f>
        <v>43.15228956228956</v>
      </c>
      <c r="G573" s="488">
        <f t="shared" si="149"/>
        <v>4315.2289562289561</v>
      </c>
      <c r="H573" s="905"/>
      <c r="I573" s="905"/>
      <c r="J573" s="491">
        <f t="shared" si="150"/>
        <v>1300</v>
      </c>
      <c r="K573" s="501">
        <f t="shared" si="151"/>
        <v>500</v>
      </c>
      <c r="L573" s="501">
        <f t="shared" si="152"/>
        <v>1800</v>
      </c>
      <c r="M573" s="493"/>
      <c r="N573" s="507"/>
      <c r="O573" s="449"/>
    </row>
    <row r="574" spans="2:15" ht="14.25" hidden="1" customHeight="1" outlineLevel="1">
      <c r="B574" s="523" t="s">
        <v>1341</v>
      </c>
      <c r="C574" s="15" t="str">
        <f>IFERROR(VLOOKUP(B574,MasterSheet!$B$6:$N$521,3,),"n/a")</f>
        <v>BB.Q Papertray</v>
      </c>
      <c r="D574" s="510">
        <v>1</v>
      </c>
      <c r="E574" s="505" t="str">
        <f>IFERROR(VLOOKUP(B574,[4]MasterSheet!$B$6:$N$515,10,),"N/a")</f>
        <v>ea</v>
      </c>
      <c r="F574" s="506">
        <f>IFERROR(VLOOKUP(B574,MasterSheet!$B$6:$N$521,11,),"N/a")</f>
        <v>600</v>
      </c>
      <c r="G574" s="488">
        <f t="shared" si="149"/>
        <v>600</v>
      </c>
      <c r="H574" s="905"/>
      <c r="I574" s="905"/>
      <c r="J574" s="491">
        <f>D574*$J$563</f>
        <v>13</v>
      </c>
      <c r="K574" s="501"/>
      <c r="L574" s="501">
        <f t="shared" si="152"/>
        <v>13</v>
      </c>
      <c r="M574" s="493"/>
      <c r="N574" s="507"/>
      <c r="O574" s="449"/>
    </row>
    <row r="575" spans="2:15" ht="14.25" hidden="1" customHeight="1" outlineLevel="1">
      <c r="B575" s="523" t="s">
        <v>1337</v>
      </c>
      <c r="C575" s="15" t="str">
        <f>IFERROR(VLOOKUP(B575,MasterSheet!$B$6:$N$521,3,),"n/a")</f>
        <v>BB.Q FOODPAIL L</v>
      </c>
      <c r="D575" s="510">
        <v>1</v>
      </c>
      <c r="E575" s="505" t="str">
        <f>IFERROR(VLOOKUP(B575,[4]MasterSheet!$B$6:$N$515,10,),"N/a")</f>
        <v>ea</v>
      </c>
      <c r="F575" s="506">
        <f>IFERROR(VLOOKUP(B575,MasterSheet!$B$6:$N$521,11,),"N/a")</f>
        <v>1238</v>
      </c>
      <c r="G575" s="488">
        <f t="shared" si="149"/>
        <v>1238</v>
      </c>
      <c r="H575" s="905"/>
      <c r="I575" s="905"/>
      <c r="J575" s="491"/>
      <c r="K575" s="501">
        <f t="shared" ref="K575:K580" si="153">D575*$K$563</f>
        <v>5</v>
      </c>
      <c r="L575" s="501">
        <f t="shared" si="152"/>
        <v>5</v>
      </c>
      <c r="M575" s="493"/>
      <c r="N575" s="507"/>
      <c r="O575" s="449"/>
    </row>
    <row r="576" spans="2:15" ht="14.25" hidden="1" customHeight="1" outlineLevel="1">
      <c r="B576" s="523" t="s">
        <v>1365</v>
      </c>
      <c r="C576" s="15" t="str">
        <f>IFERROR(VLOOKUP(B576,MasterSheet!$B$6:$N$521,3,),"n/a")</f>
        <v>Drink Package(16oz)</v>
      </c>
      <c r="D576" s="510">
        <v>1</v>
      </c>
      <c r="E576" s="505" t="str">
        <f>IFERROR(VLOOKUP(B576,[4]MasterSheet!$B$6:$N$515,10,),"N/a")</f>
        <v>ea</v>
      </c>
      <c r="F576" s="506">
        <f>IFERROR(VLOOKUP(B576,MasterSheet!$B$6:$N$521,11,),"N/a")</f>
        <v>750</v>
      </c>
      <c r="G576" s="488">
        <f t="shared" si="149"/>
        <v>750</v>
      </c>
      <c r="H576" s="905"/>
      <c r="I576" s="905"/>
      <c r="J576" s="491">
        <f>D576*$J$563</f>
        <v>13</v>
      </c>
      <c r="K576" s="501">
        <f t="shared" si="153"/>
        <v>5</v>
      </c>
      <c r="L576" s="501">
        <f t="shared" si="152"/>
        <v>18</v>
      </c>
      <c r="M576" s="493"/>
      <c r="N576" s="507"/>
      <c r="O576" s="449"/>
    </row>
    <row r="577" spans="2:15" ht="14.25" hidden="1" customHeight="1" outlineLevel="1">
      <c r="B577" s="523" t="s">
        <v>1384</v>
      </c>
      <c r="C577" s="15" t="str">
        <f>IFERROR(VLOOKUP(B577,MasterSheet!$B$6:$N$521,3,),"n/a")</f>
        <v>DRINK PACKAGE LID(16OZ)</v>
      </c>
      <c r="D577" s="510">
        <v>1</v>
      </c>
      <c r="E577" s="505" t="str">
        <f>IFERROR(VLOOKUP(B577,[4]MasterSheet!$B$6:$N$515,10,),"N/a")</f>
        <v>ea</v>
      </c>
      <c r="F577" s="506">
        <f>IFERROR(VLOOKUP(B577,MasterSheet!$B$6:$N$521,11,),"N/a")</f>
        <v>200</v>
      </c>
      <c r="G577" s="488">
        <f t="shared" si="149"/>
        <v>200</v>
      </c>
      <c r="H577" s="905"/>
      <c r="I577" s="905"/>
      <c r="J577" s="491"/>
      <c r="K577" s="501">
        <f t="shared" si="153"/>
        <v>5</v>
      </c>
      <c r="L577" s="501">
        <f t="shared" si="152"/>
        <v>5</v>
      </c>
      <c r="M577" s="493"/>
      <c r="N577" s="507"/>
      <c r="O577" s="449"/>
    </row>
    <row r="578" spans="2:15" ht="14.25" hidden="1" customHeight="1" outlineLevel="1">
      <c r="B578" s="523" t="s">
        <v>1162</v>
      </c>
      <c r="C578" s="15" t="str">
        <f>IFERROR(VLOOKUP(B578,MasterSheet!$B$6:$N$521,3,),"n/a")</f>
        <v xml:space="preserve">BB.Q POTATO FRIES BOX (Dine-in) </v>
      </c>
      <c r="D578" s="510">
        <v>1</v>
      </c>
      <c r="E578" s="505" t="str">
        <f>IFERROR(VLOOKUP(B578,[4]MasterSheet!$B$6:$N$515,10,),"N/a")</f>
        <v>ea</v>
      </c>
      <c r="F578" s="506">
        <f>IFERROR(VLOOKUP(B578,MasterSheet!$B$6:$N$521,11,),"N/a")</f>
        <v>535</v>
      </c>
      <c r="G578" s="488">
        <f t="shared" si="149"/>
        <v>535</v>
      </c>
      <c r="H578" s="905"/>
      <c r="I578" s="905"/>
      <c r="J578" s="491">
        <f>D578*$J$563</f>
        <v>13</v>
      </c>
      <c r="K578" s="501">
        <f t="shared" si="153"/>
        <v>5</v>
      </c>
      <c r="L578" s="501">
        <f t="shared" si="152"/>
        <v>18</v>
      </c>
      <c r="M578" s="493"/>
      <c r="N578" s="507"/>
      <c r="O578" s="449"/>
    </row>
    <row r="579" spans="2:15" ht="14.25" hidden="1" customHeight="1" outlineLevel="1">
      <c r="B579" s="523" t="s">
        <v>1395</v>
      </c>
      <c r="C579" s="15" t="str">
        <f>IFERROR(VLOOKUP(B579,MasterSheet!$B$6:$N$521,3,),"n/a")</f>
        <v>BB.Q PAPER BAG FRIES (TakeAway)</v>
      </c>
      <c r="D579" s="510">
        <v>1</v>
      </c>
      <c r="E579" s="505" t="str">
        <f>IFERROR(VLOOKUP(B579,[4]MasterSheet!$B$6:$N$515,10,),"N/a")</f>
        <v>ea</v>
      </c>
      <c r="F579" s="506">
        <f>IFERROR(VLOOKUP(B579,MasterSheet!$B$6:$N$521,11,),"N/a")</f>
        <v>737</v>
      </c>
      <c r="G579" s="488">
        <f t="shared" si="149"/>
        <v>737</v>
      </c>
      <c r="H579" s="905"/>
      <c r="I579" s="905"/>
      <c r="J579" s="491"/>
      <c r="K579" s="501">
        <f t="shared" si="153"/>
        <v>5</v>
      </c>
      <c r="L579" s="501">
        <f t="shared" si="152"/>
        <v>5</v>
      </c>
      <c r="M579" s="493"/>
      <c r="N579" s="507"/>
      <c r="O579" s="449"/>
    </row>
    <row r="580" spans="2:15" ht="14.65" hidden="1" customHeight="1" outlineLevel="1" thickBot="1">
      <c r="B580" s="524" t="s">
        <v>1150</v>
      </c>
      <c r="C580" s="512" t="str">
        <f>IFERROR(VLOOKUP(B580,MasterSheet!$B$6:$N$421,3,),"n/a")</f>
        <v>PARCHMENT PAPER / WRAPPING RICE</v>
      </c>
      <c r="D580" s="513">
        <v>1</v>
      </c>
      <c r="E580" s="514" t="str">
        <f>IFERROR(VLOOKUP(B580,[4]MasterSheet!B360:N951,10,),"N/a")</f>
        <v>N/a</v>
      </c>
      <c r="F580" s="515">
        <f>IFERROR(VLOOKUP(B580,MasterSheet!$B$6:$N$421,11,),"N/a")</f>
        <v>216.45</v>
      </c>
      <c r="G580" s="516">
        <f t="shared" si="149"/>
        <v>216.45</v>
      </c>
      <c r="H580" s="916"/>
      <c r="I580" s="916"/>
      <c r="J580" s="517">
        <f>D580*$J$563</f>
        <v>13</v>
      </c>
      <c r="K580" s="518">
        <f t="shared" si="153"/>
        <v>5</v>
      </c>
      <c r="L580" s="518">
        <f>SUM(J580:K580)</f>
        <v>18</v>
      </c>
      <c r="M580" s="519"/>
      <c r="N580" s="520"/>
      <c r="O580" s="449"/>
    </row>
    <row r="581" spans="2:15" collapsed="1">
      <c r="B581" s="219" t="s">
        <v>1458</v>
      </c>
      <c r="C581" s="15" t="s">
        <v>1457</v>
      </c>
      <c r="D581" s="184">
        <f>E581*(1+$E$8)</f>
        <v>66000</v>
      </c>
      <c r="E581" s="184">
        <v>60000</v>
      </c>
      <c r="F581" s="174">
        <f>H584</f>
        <v>29169.823689970097</v>
      </c>
      <c r="G581" s="489">
        <f>I584</f>
        <v>30209.823689970097</v>
      </c>
      <c r="H581" s="500">
        <f>F581/E581</f>
        <v>0.48616372816616826</v>
      </c>
      <c r="I581" s="500">
        <f>G581/E581</f>
        <v>0.50349706149950157</v>
      </c>
      <c r="J581" s="501">
        <f>VLOOKUP(B581,'SALES MIX'!B14:J104,4)</f>
        <v>0</v>
      </c>
      <c r="K581" s="501">
        <f>VLOOKUP(B581,'SALES MIX'!B14:J104,5)</f>
        <v>0</v>
      </c>
      <c r="L581" s="221" t="e">
        <f>((F581*J581)+(G581*K581))/((J581+K581)*E581)</f>
        <v>#DIV/0!</v>
      </c>
      <c r="M581" s="493"/>
      <c r="N581" s="493"/>
      <c r="O581" s="449"/>
    </row>
    <row r="582" spans="2:15" ht="14.65" hidden="1" customHeight="1" outlineLevel="1" thickTop="1">
      <c r="B582" s="913" t="s">
        <v>608</v>
      </c>
      <c r="C582" s="914" t="s">
        <v>1305</v>
      </c>
      <c r="D582" s="915" t="s">
        <v>1306</v>
      </c>
      <c r="E582" s="915" t="s">
        <v>60</v>
      </c>
      <c r="F582" s="915" t="s">
        <v>615</v>
      </c>
      <c r="G582" s="915" t="s">
        <v>755</v>
      </c>
      <c r="H582" s="907" t="s">
        <v>1312</v>
      </c>
      <c r="I582" s="907"/>
      <c r="J582" s="907" t="s">
        <v>1319</v>
      </c>
      <c r="K582" s="907"/>
      <c r="L582" s="908" t="s">
        <v>1313</v>
      </c>
      <c r="M582" s="907" t="s">
        <v>912</v>
      </c>
      <c r="N582" s="917"/>
      <c r="O582" s="449"/>
    </row>
    <row r="583" spans="2:15" ht="14.65" hidden="1" customHeight="1" outlineLevel="1" thickBot="1">
      <c r="B583" s="894"/>
      <c r="C583" s="896"/>
      <c r="D583" s="898"/>
      <c r="E583" s="898"/>
      <c r="F583" s="898"/>
      <c r="G583" s="898"/>
      <c r="H583" s="502" t="s">
        <v>1309</v>
      </c>
      <c r="I583" s="502" t="s">
        <v>1308</v>
      </c>
      <c r="J583" s="502" t="s">
        <v>1309</v>
      </c>
      <c r="K583" s="502" t="s">
        <v>1308</v>
      </c>
      <c r="L583" s="901"/>
      <c r="M583" s="903"/>
      <c r="N583" s="904"/>
      <c r="O583" s="449"/>
    </row>
    <row r="584" spans="2:15" ht="14.25" hidden="1" customHeight="1" outlineLevel="1">
      <c r="B584" s="504" t="s">
        <v>631</v>
      </c>
      <c r="C584" s="15" t="str">
        <f>IFERROR(VLOOKUP(B584,MasterSheet!$B$6:$N$150,3,),"n/a")</f>
        <v>Injected Whole Chicken (1.25kg)</v>
      </c>
      <c r="D584" s="499">
        <f>1250/9*2</f>
        <v>277.77777777777777</v>
      </c>
      <c r="E584" s="505" t="str">
        <f>IFERROR(VLOOKUP(B584,[4]MasterSheet!$B$6:$N$144,10,),"N/a")</f>
        <v>g</v>
      </c>
      <c r="F584" s="506">
        <f>IFERROR(VLOOKUP(B584,MasterSheet!$B$6:$N$150,11,),"N/a")</f>
        <v>34.314223999999996</v>
      </c>
      <c r="G584" s="488">
        <f>IFERROR(D584*F584,"_")</f>
        <v>9531.728888888887</v>
      </c>
      <c r="H584" s="905">
        <f>SUM(G584:G593,G595,G599,G597)</f>
        <v>29169.823689970097</v>
      </c>
      <c r="I584" s="905">
        <f>SUM(G584:G592,G594,G595,G599,G596,G598)</f>
        <v>30209.823689970097</v>
      </c>
      <c r="J584" s="491">
        <f>D584*$J$581</f>
        <v>0</v>
      </c>
      <c r="K584" s="501">
        <f>D584*$K$581</f>
        <v>0</v>
      </c>
      <c r="L584" s="501">
        <f>SUM(J584:K584)</f>
        <v>0</v>
      </c>
      <c r="M584" s="493"/>
      <c r="N584" s="507"/>
      <c r="O584" s="449"/>
    </row>
    <row r="585" spans="2:15" ht="14.25" hidden="1" customHeight="1" outlineLevel="1">
      <c r="B585" s="508" t="s">
        <v>757</v>
      </c>
      <c r="C585" s="15" t="str">
        <f>IFERROR(VLOOKUP(B585,MasterSheet!$B$6:$N$150,3,),"n/a")</f>
        <v xml:space="preserve">Marinade Powder Mix </v>
      </c>
      <c r="D585" s="499">
        <f>D584*0.012</f>
        <v>3.3333333333333335</v>
      </c>
      <c r="E585" s="505" t="str">
        <f>IFERROR(VLOOKUP(B585,[4]MasterSheet!$B$6:$N$144,10,),"N/a")</f>
        <v>g</v>
      </c>
      <c r="F585" s="506">
        <f>IFERROR(VLOOKUP(B585,MasterSheet!$B$6:$N$150,11,),"N/a")</f>
        <v>117.51275510204081</v>
      </c>
      <c r="G585" s="488">
        <f t="shared" ref="G585:G599" si="154">IFERROR(D585*F585,"_")</f>
        <v>391.7091836734694</v>
      </c>
      <c r="H585" s="905"/>
      <c r="I585" s="905"/>
      <c r="J585" s="491">
        <f t="shared" ref="J585:J597" si="155">D585*$J$581</f>
        <v>0</v>
      </c>
      <c r="K585" s="501">
        <f t="shared" ref="K585:K598" si="156">D585*$K$581</f>
        <v>0</v>
      </c>
      <c r="L585" s="501">
        <f t="shared" ref="L585:L598" si="157">SUM(J585:K585)</f>
        <v>0</v>
      </c>
      <c r="M585" s="493"/>
      <c r="N585" s="507"/>
      <c r="O585" s="449"/>
    </row>
    <row r="586" spans="2:15" ht="14.25" hidden="1" customHeight="1" outlineLevel="1">
      <c r="B586" s="508" t="s">
        <v>4</v>
      </c>
      <c r="C586" s="15" t="str">
        <f>IFERROR(VLOOKUP(B586,MasterSheet!$B$6:$N$150,3,),"n/a")</f>
        <v>Battering Powder Mix</v>
      </c>
      <c r="D586" s="499">
        <f>D584*0.175</f>
        <v>48.611111111111107</v>
      </c>
      <c r="E586" s="505" t="str">
        <f>IFERROR(VLOOKUP(B586,[4]MasterSheet!$B$6:$N$144,10,),"N/a")</f>
        <v>g</v>
      </c>
      <c r="F586" s="506">
        <f>IFERROR(VLOOKUP(B586,MasterSheet!$B$6:$N$150,11,),"N/a")</f>
        <v>81.617647058823536</v>
      </c>
      <c r="G586" s="488">
        <f t="shared" si="154"/>
        <v>3967.5245098039218</v>
      </c>
      <c r="H586" s="905"/>
      <c r="I586" s="905"/>
      <c r="J586" s="491">
        <f t="shared" si="155"/>
        <v>0</v>
      </c>
      <c r="K586" s="501">
        <f t="shared" si="156"/>
        <v>0</v>
      </c>
      <c r="L586" s="501">
        <f t="shared" si="157"/>
        <v>0</v>
      </c>
      <c r="M586" s="493"/>
      <c r="N586" s="507"/>
      <c r="O586" s="449"/>
    </row>
    <row r="587" spans="2:15" ht="14.25" hidden="1" customHeight="1" outlineLevel="1">
      <c r="B587" s="508" t="s">
        <v>999</v>
      </c>
      <c r="C587" s="15" t="str">
        <f>IFERROR(VLOOKUP(B587,MasterSheet!$B$6:$N$150,3,),"n/a")</f>
        <v>Palm Oil</v>
      </c>
      <c r="D587" s="499">
        <f>D584*0.1</f>
        <v>27.777777777777779</v>
      </c>
      <c r="E587" s="505" t="str">
        <f>IFERROR(VLOOKUP(B587,[4]MasterSheet!$B$6:$N$144,10,),"N/a")</f>
        <v>g</v>
      </c>
      <c r="F587" s="506">
        <f>IFERROR(VLOOKUP(B587,MasterSheet!$B$6:$N$150,11,),"N/a")</f>
        <v>25.580404040404041</v>
      </c>
      <c r="G587" s="488">
        <f t="shared" si="154"/>
        <v>710.56677890011224</v>
      </c>
      <c r="H587" s="905"/>
      <c r="I587" s="905"/>
      <c r="J587" s="491">
        <f t="shared" si="155"/>
        <v>0</v>
      </c>
      <c r="K587" s="501">
        <f t="shared" si="156"/>
        <v>0</v>
      </c>
      <c r="L587" s="501">
        <f t="shared" si="157"/>
        <v>0</v>
      </c>
      <c r="M587" s="493"/>
      <c r="N587" s="507"/>
      <c r="O587" s="449"/>
    </row>
    <row r="588" spans="2:15" ht="14.25" hidden="1" customHeight="1" outlineLevel="1">
      <c r="B588" s="508" t="s">
        <v>725</v>
      </c>
      <c r="C588" s="15" t="str">
        <f>IFERROR(VLOOKUP(B588,MasterSheet!$B$6:$N$150,3,),"n/a")</f>
        <v>Hot Spicy Sauce</v>
      </c>
      <c r="D588" s="499">
        <f>D584*15%</f>
        <v>41.666666666666664</v>
      </c>
      <c r="E588" s="505" t="str">
        <f>IFERROR(VLOOKUP(B588,[4]MasterSheet!$B$6:$N$144,10,),"N/a")</f>
        <v>g</v>
      </c>
      <c r="F588" s="506">
        <f>IFERROR(VLOOKUP(B588,MasterSheet!$B$6:$N$150,11,),"N/a")</f>
        <v>135.85937500000003</v>
      </c>
      <c r="G588" s="488">
        <f t="shared" si="154"/>
        <v>5660.8072916666679</v>
      </c>
      <c r="H588" s="905"/>
      <c r="I588" s="905"/>
      <c r="J588" s="491">
        <f t="shared" si="155"/>
        <v>0</v>
      </c>
      <c r="K588" s="501">
        <f t="shared" si="156"/>
        <v>0</v>
      </c>
      <c r="L588" s="501">
        <f t="shared" si="157"/>
        <v>0</v>
      </c>
      <c r="M588" s="493"/>
      <c r="N588" s="507"/>
      <c r="O588" s="449"/>
    </row>
    <row r="589" spans="2:15" ht="14.25" hidden="1" customHeight="1" outlineLevel="1">
      <c r="B589" s="508" t="s">
        <v>785</v>
      </c>
      <c r="C589" s="15" t="str">
        <f>IFERROR(VLOOKUP(B589,MasterSheet!$B$6:$N$150,3,),"n/a")</f>
        <v xml:space="preserve">Black Tea (w/water) </v>
      </c>
      <c r="D589" s="499">
        <v>250</v>
      </c>
      <c r="E589" s="505" t="str">
        <f>IFERROR(VLOOKUP(B589,[4]MasterSheet!$B$6:$N$144,10,),"N/a")</f>
        <v>g</v>
      </c>
      <c r="F589" s="506">
        <f>IFERROR(VLOOKUP(B589,MasterSheet!$B$6:$N$150,11,),"N/a")</f>
        <v>1.6818181818181819</v>
      </c>
      <c r="G589" s="488">
        <f t="shared" si="154"/>
        <v>420.4545454545455</v>
      </c>
      <c r="H589" s="905"/>
      <c r="I589" s="905"/>
      <c r="J589" s="491">
        <f t="shared" si="155"/>
        <v>0</v>
      </c>
      <c r="K589" s="501">
        <f t="shared" si="156"/>
        <v>0</v>
      </c>
      <c r="L589" s="501">
        <f t="shared" si="157"/>
        <v>0</v>
      </c>
      <c r="M589" s="493"/>
      <c r="N589" s="507"/>
      <c r="O589" s="449"/>
    </row>
    <row r="590" spans="2:15" ht="14.25" hidden="1" customHeight="1" outlineLevel="1">
      <c r="B590" s="508" t="s">
        <v>1029</v>
      </c>
      <c r="C590" s="15" t="str">
        <f>IFERROR(VLOOKUP(B590,MasterSheet!$B$6:$N$150,3,),"n/a")</f>
        <v>GIMBORI (Crispy Seaweed)</v>
      </c>
      <c r="D590" s="499">
        <v>1</v>
      </c>
      <c r="E590" s="505" t="str">
        <f>IFERROR(VLOOKUP(B590,[4]MasterSheet!$B$6:$N$144,10,),"N/a")</f>
        <v>g</v>
      </c>
      <c r="F590" s="506">
        <f>IFERROR(VLOOKUP(B590,MasterSheet!$B$6:$N$150,11,),"N/a")</f>
        <v>390.90909090909093</v>
      </c>
      <c r="G590" s="488">
        <f t="shared" si="154"/>
        <v>390.90909090909093</v>
      </c>
      <c r="H590" s="905"/>
      <c r="I590" s="905"/>
      <c r="J590" s="491">
        <f t="shared" si="155"/>
        <v>0</v>
      </c>
      <c r="K590" s="501">
        <f t="shared" si="156"/>
        <v>0</v>
      </c>
      <c r="L590" s="501">
        <f t="shared" si="157"/>
        <v>0</v>
      </c>
      <c r="M590" s="493"/>
      <c r="N590" s="507"/>
      <c r="O590" s="449"/>
    </row>
    <row r="591" spans="2:15" ht="14.25" hidden="1" customHeight="1" outlineLevel="1">
      <c r="B591" s="509" t="s">
        <v>567</v>
      </c>
      <c r="C591" s="15" t="str">
        <f>VLOOKUP(B591,CK!$B$8:$L$87,4,)</f>
        <v>Battering Powder Mix Solution(White)</v>
      </c>
      <c r="D591" s="510">
        <f>D584*0.2</f>
        <v>55.555555555555557</v>
      </c>
      <c r="E591" s="505" t="str">
        <f>VLOOKUP(B591,[4]CK!$B$8:$L$87,9,)</f>
        <v>g</v>
      </c>
      <c r="F591" s="506">
        <f>VLOOKUP(B591,CK!$B$8:$L$87,10,)</f>
        <v>30.23</v>
      </c>
      <c r="G591" s="488">
        <f t="shared" si="154"/>
        <v>1679.4444444444446</v>
      </c>
      <c r="H591" s="905"/>
      <c r="I591" s="905"/>
      <c r="J591" s="491">
        <f t="shared" si="155"/>
        <v>0</v>
      </c>
      <c r="K591" s="501">
        <f t="shared" si="156"/>
        <v>0</v>
      </c>
      <c r="L591" s="501">
        <f t="shared" si="157"/>
        <v>0</v>
      </c>
      <c r="M591" s="493"/>
      <c r="N591" s="507"/>
      <c r="O591" s="449"/>
    </row>
    <row r="592" spans="2:15" ht="14.25" hidden="1" customHeight="1" outlineLevel="1">
      <c r="B592" s="509" t="s">
        <v>1117</v>
      </c>
      <c r="C592" s="15" t="str">
        <f>VLOOKUP(B592,CK!$B$8:$L$87,4,)</f>
        <v>French Fries</v>
      </c>
      <c r="D592" s="510">
        <v>100</v>
      </c>
      <c r="E592" s="505" t="str">
        <f>VLOOKUP(B592,[4]CK!$B$8:$L$87,9,)</f>
        <v>g</v>
      </c>
      <c r="F592" s="506">
        <f>VLOOKUP(B592,CK!$B$8:$L$87,10,)</f>
        <v>43.15228956228956</v>
      </c>
      <c r="G592" s="488">
        <f t="shared" si="154"/>
        <v>4315.2289562289561</v>
      </c>
      <c r="H592" s="905"/>
      <c r="I592" s="905"/>
      <c r="J592" s="491">
        <f t="shared" si="155"/>
        <v>0</v>
      </c>
      <c r="K592" s="501">
        <f t="shared" si="156"/>
        <v>0</v>
      </c>
      <c r="L592" s="501">
        <f t="shared" si="157"/>
        <v>0</v>
      </c>
      <c r="M592" s="493"/>
      <c r="N592" s="507"/>
      <c r="O592" s="449"/>
    </row>
    <row r="593" spans="2:15" ht="14.25" hidden="1" customHeight="1" outlineLevel="1">
      <c r="B593" s="523" t="s">
        <v>1341</v>
      </c>
      <c r="C593" s="15" t="str">
        <f>IFERROR(VLOOKUP(B593,MasterSheet!$B$6:$N$521,3,),"n/a")</f>
        <v>BB.Q Papertray</v>
      </c>
      <c r="D593" s="510">
        <v>1</v>
      </c>
      <c r="E593" s="505" t="str">
        <f>IFERROR(VLOOKUP(B593,[4]MasterSheet!$B$6:$N$515,10,),"N/a")</f>
        <v>ea</v>
      </c>
      <c r="F593" s="506">
        <f>IFERROR(VLOOKUP(B593,MasterSheet!$B$6:$N$521,11,),"N/a")</f>
        <v>600</v>
      </c>
      <c r="G593" s="488">
        <f t="shared" si="154"/>
        <v>600</v>
      </c>
      <c r="H593" s="905"/>
      <c r="I593" s="905"/>
      <c r="J593" s="491">
        <f t="shared" si="155"/>
        <v>0</v>
      </c>
      <c r="K593" s="501"/>
      <c r="L593" s="501">
        <f t="shared" si="157"/>
        <v>0</v>
      </c>
      <c r="M593" s="493"/>
      <c r="N593" s="507"/>
      <c r="O593" s="449"/>
    </row>
    <row r="594" spans="2:15" ht="14.25" hidden="1" customHeight="1" outlineLevel="1">
      <c r="B594" s="523" t="s">
        <v>1337</v>
      </c>
      <c r="C594" s="15" t="str">
        <f>IFERROR(VLOOKUP(B594,MasterSheet!$B$6:$N$521,3,),"n/a")</f>
        <v>BB.Q FOODPAIL L</v>
      </c>
      <c r="D594" s="510">
        <v>1</v>
      </c>
      <c r="E594" s="505" t="str">
        <f>IFERROR(VLOOKUP(B594,[4]MasterSheet!$B$6:$N$515,10,),"N/a")</f>
        <v>ea</v>
      </c>
      <c r="F594" s="506">
        <f>IFERROR(VLOOKUP(B594,MasterSheet!$B$6:$N$521,11,),"N/a")</f>
        <v>1238</v>
      </c>
      <c r="G594" s="488">
        <f t="shared" si="154"/>
        <v>1238</v>
      </c>
      <c r="H594" s="905"/>
      <c r="I594" s="905"/>
      <c r="J594" s="491"/>
      <c r="K594" s="501">
        <f t="shared" si="156"/>
        <v>0</v>
      </c>
      <c r="L594" s="501">
        <f t="shared" si="157"/>
        <v>0</v>
      </c>
      <c r="M594" s="493"/>
      <c r="N594" s="507"/>
      <c r="O594" s="449"/>
    </row>
    <row r="595" spans="2:15" ht="14.25" hidden="1" customHeight="1" outlineLevel="1">
      <c r="B595" s="523" t="s">
        <v>1365</v>
      </c>
      <c r="C595" s="15" t="str">
        <f>IFERROR(VLOOKUP(B595,MasterSheet!$B$6:$N$521,3,),"n/a")</f>
        <v>Drink Package(16oz)</v>
      </c>
      <c r="D595" s="510">
        <v>1</v>
      </c>
      <c r="E595" s="505" t="str">
        <f>IFERROR(VLOOKUP(B595,[4]MasterSheet!$B$6:$N$515,10,),"N/a")</f>
        <v>ea</v>
      </c>
      <c r="F595" s="506">
        <f>IFERROR(VLOOKUP(B595,MasterSheet!$B$6:$N$521,11,),"N/a")</f>
        <v>750</v>
      </c>
      <c r="G595" s="488">
        <f t="shared" si="154"/>
        <v>750</v>
      </c>
      <c r="H595" s="905"/>
      <c r="I595" s="905"/>
      <c r="J595" s="491">
        <f t="shared" si="155"/>
        <v>0</v>
      </c>
      <c r="K595" s="501">
        <f t="shared" si="156"/>
        <v>0</v>
      </c>
      <c r="L595" s="501">
        <f t="shared" si="157"/>
        <v>0</v>
      </c>
      <c r="M595" s="493"/>
      <c r="N595" s="507"/>
      <c r="O595" s="449"/>
    </row>
    <row r="596" spans="2:15" ht="14.25" hidden="1" customHeight="1" outlineLevel="1">
      <c r="B596" s="523" t="s">
        <v>1384</v>
      </c>
      <c r="C596" s="15" t="str">
        <f>IFERROR(VLOOKUP(B596,MasterSheet!$B$6:$N$521,3,),"n/a")</f>
        <v>DRINK PACKAGE LID(16OZ)</v>
      </c>
      <c r="D596" s="510">
        <v>1</v>
      </c>
      <c r="E596" s="505" t="str">
        <f>IFERROR(VLOOKUP(B596,[4]MasterSheet!$B$6:$N$515,10,),"N/a")</f>
        <v>ea</v>
      </c>
      <c r="F596" s="506">
        <f>IFERROR(VLOOKUP(B596,MasterSheet!$B$6:$N$521,11,),"N/a")</f>
        <v>200</v>
      </c>
      <c r="G596" s="488">
        <f t="shared" si="154"/>
        <v>200</v>
      </c>
      <c r="H596" s="905"/>
      <c r="I596" s="905"/>
      <c r="J596" s="491"/>
      <c r="K596" s="501">
        <f t="shared" si="156"/>
        <v>0</v>
      </c>
      <c r="L596" s="501">
        <f t="shared" si="157"/>
        <v>0</v>
      </c>
      <c r="M596" s="493"/>
      <c r="N596" s="507"/>
      <c r="O596" s="449"/>
    </row>
    <row r="597" spans="2:15" ht="14.25" hidden="1" customHeight="1" outlineLevel="1">
      <c r="B597" s="523" t="s">
        <v>1162</v>
      </c>
      <c r="C597" s="15" t="str">
        <f>IFERROR(VLOOKUP(B597,MasterSheet!$B$6:$N$521,3,),"n/a")</f>
        <v xml:space="preserve">BB.Q POTATO FRIES BOX (Dine-in) </v>
      </c>
      <c r="D597" s="510">
        <v>1</v>
      </c>
      <c r="E597" s="505" t="str">
        <f>IFERROR(VLOOKUP(B597,[4]MasterSheet!$B$6:$N$515,10,),"N/a")</f>
        <v>ea</v>
      </c>
      <c r="F597" s="506">
        <f>IFERROR(VLOOKUP(B597,MasterSheet!$B$6:$N$521,11,),"N/a")</f>
        <v>535</v>
      </c>
      <c r="G597" s="488">
        <f t="shared" si="154"/>
        <v>535</v>
      </c>
      <c r="H597" s="905"/>
      <c r="I597" s="905"/>
      <c r="J597" s="491">
        <f t="shared" si="155"/>
        <v>0</v>
      </c>
      <c r="K597" s="501"/>
      <c r="L597" s="501">
        <f t="shared" si="157"/>
        <v>0</v>
      </c>
      <c r="M597" s="493"/>
      <c r="N597" s="507"/>
      <c r="O597" s="449"/>
    </row>
    <row r="598" spans="2:15" ht="14.25" hidden="1" customHeight="1" outlineLevel="1">
      <c r="B598" s="523" t="s">
        <v>1395</v>
      </c>
      <c r="C598" s="15" t="str">
        <f>IFERROR(VLOOKUP(B598,MasterSheet!$B$6:$N$521,3,),"n/a")</f>
        <v>BB.Q PAPER BAG FRIES (TakeAway)</v>
      </c>
      <c r="D598" s="510">
        <v>1</v>
      </c>
      <c r="E598" s="505" t="str">
        <f>IFERROR(VLOOKUP(B598,[4]MasterSheet!$B$6:$N$515,10,),"N/a")</f>
        <v>ea</v>
      </c>
      <c r="F598" s="506">
        <f>IFERROR(VLOOKUP(B598,MasterSheet!$B$6:$N$521,11,),"N/a")</f>
        <v>737</v>
      </c>
      <c r="G598" s="488">
        <f t="shared" si="154"/>
        <v>737</v>
      </c>
      <c r="H598" s="905"/>
      <c r="I598" s="905"/>
      <c r="J598" s="491"/>
      <c r="K598" s="501">
        <f t="shared" si="156"/>
        <v>0</v>
      </c>
      <c r="L598" s="501">
        <f t="shared" si="157"/>
        <v>0</v>
      </c>
      <c r="M598" s="493"/>
      <c r="N598" s="507"/>
      <c r="O598" s="449"/>
    </row>
    <row r="599" spans="2:15" ht="14.65" hidden="1" customHeight="1" outlineLevel="1" thickBot="1">
      <c r="B599" s="524" t="s">
        <v>1150</v>
      </c>
      <c r="C599" s="512" t="str">
        <f>IFERROR(VLOOKUP(B599,MasterSheet!$B$6:$N$421,3,),"n/a")</f>
        <v>PARCHMENT PAPER / WRAPPING RICE</v>
      </c>
      <c r="D599" s="513">
        <v>1</v>
      </c>
      <c r="E599" s="514" t="str">
        <f>IFERROR(VLOOKUP(B599,[4]MasterSheet!B376:N967,10,),"N/a")</f>
        <v>N/a</v>
      </c>
      <c r="F599" s="515">
        <f>IFERROR(VLOOKUP(B599,MasterSheet!$B$6:$N$421,11,),"N/a")</f>
        <v>216.45</v>
      </c>
      <c r="G599" s="516">
        <f t="shared" si="154"/>
        <v>216.45</v>
      </c>
      <c r="H599" s="916"/>
      <c r="I599" s="916"/>
      <c r="J599" s="517">
        <f>D599*$J$581</f>
        <v>0</v>
      </c>
      <c r="K599" s="518">
        <f>D599*$K$581</f>
        <v>0</v>
      </c>
      <c r="L599" s="518">
        <f>SUM(J599:K599)</f>
        <v>0</v>
      </c>
      <c r="M599" s="519"/>
      <c r="N599" s="520"/>
      <c r="O599" s="449"/>
    </row>
    <row r="600" spans="2:15" collapsed="1">
      <c r="B600" s="219" t="s">
        <v>1459</v>
      </c>
      <c r="C600" s="15" t="s">
        <v>1461</v>
      </c>
      <c r="D600" s="184">
        <f>E600*(1+$E$8)</f>
        <v>66000</v>
      </c>
      <c r="E600" s="184">
        <v>60000</v>
      </c>
      <c r="F600" s="174">
        <f>H603</f>
        <v>22134.907421379325</v>
      </c>
      <c r="G600" s="489">
        <f>I603</f>
        <v>23140.907421379325</v>
      </c>
      <c r="H600" s="500">
        <f>F600/E600</f>
        <v>0.3689151236896554</v>
      </c>
      <c r="I600" s="500">
        <f>G600/E600</f>
        <v>0.38568179035632205</v>
      </c>
      <c r="J600" s="501">
        <f>VLOOKUP(B600,'SALES MIX'!B14:J104,4)</f>
        <v>13</v>
      </c>
      <c r="K600" s="501">
        <f>VLOOKUP(B600,'SALES MIX'!B14:J104,5)</f>
        <v>8</v>
      </c>
      <c r="L600" s="221">
        <f>((F600*J600)+(G600*K600))/((J600+K600)*E600)</f>
        <v>0.37530242527695695</v>
      </c>
      <c r="M600" s="493"/>
      <c r="N600" s="493"/>
      <c r="O600" s="449"/>
    </row>
    <row r="601" spans="2:15" ht="14.65" hidden="1" customHeight="1" outlineLevel="1" thickTop="1">
      <c r="B601" s="913" t="s">
        <v>608</v>
      </c>
      <c r="C601" s="914" t="s">
        <v>1305</v>
      </c>
      <c r="D601" s="915" t="s">
        <v>1306</v>
      </c>
      <c r="E601" s="915" t="s">
        <v>60</v>
      </c>
      <c r="F601" s="915" t="s">
        <v>615</v>
      </c>
      <c r="G601" s="915" t="s">
        <v>755</v>
      </c>
      <c r="H601" s="907" t="s">
        <v>1312</v>
      </c>
      <c r="I601" s="907"/>
      <c r="J601" s="907" t="s">
        <v>1319</v>
      </c>
      <c r="K601" s="907"/>
      <c r="L601" s="908" t="s">
        <v>1313</v>
      </c>
      <c r="M601" s="907" t="s">
        <v>912</v>
      </c>
      <c r="N601" s="917"/>
      <c r="O601" s="449"/>
    </row>
    <row r="602" spans="2:15" ht="14.65" hidden="1" customHeight="1" outlineLevel="1" thickBot="1">
      <c r="B602" s="894"/>
      <c r="C602" s="896"/>
      <c r="D602" s="898"/>
      <c r="E602" s="898"/>
      <c r="F602" s="898"/>
      <c r="G602" s="898"/>
      <c r="H602" s="502" t="s">
        <v>1309</v>
      </c>
      <c r="I602" s="502" t="s">
        <v>1308</v>
      </c>
      <c r="J602" s="502" t="s">
        <v>1309</v>
      </c>
      <c r="K602" s="502" t="s">
        <v>1308</v>
      </c>
      <c r="L602" s="901"/>
      <c r="M602" s="903"/>
      <c r="N602" s="904"/>
      <c r="O602" s="449"/>
    </row>
    <row r="603" spans="2:15" ht="14.25" hidden="1" customHeight="1" outlineLevel="1">
      <c r="B603" s="504" t="s">
        <v>631</v>
      </c>
      <c r="C603" s="15" t="str">
        <f>IFERROR(VLOOKUP(B603,MasterSheet!$B$6:$N$150,3,),"n/a")</f>
        <v>Injected Whole Chicken (1.25kg)</v>
      </c>
      <c r="D603" s="499">
        <f>1250/9*2</f>
        <v>277.77777777777777</v>
      </c>
      <c r="E603" s="505" t="str">
        <f>IFERROR(VLOOKUP(B603,[4]MasterSheet!$B$6:$N$144,10,),"N/a")</f>
        <v>g</v>
      </c>
      <c r="F603" s="506">
        <f>IFERROR(VLOOKUP(B603,MasterSheet!$B$6:$N$150,11,),"N/a")</f>
        <v>34.314223999999996</v>
      </c>
      <c r="G603" s="488">
        <f>IFERROR(D603*F603,"_")</f>
        <v>9531.728888888887</v>
      </c>
      <c r="H603" s="905">
        <f>SUM(G603:G611,G613,G617,G615)</f>
        <v>22134.907421379325</v>
      </c>
      <c r="I603" s="905">
        <f>SUM(G603:G610,G612,G613,G617,G614,G616)</f>
        <v>23140.907421379325</v>
      </c>
      <c r="J603" s="491">
        <f>D603*$J$600</f>
        <v>3611.1111111111109</v>
      </c>
      <c r="K603" s="501">
        <f>D603*$K$600</f>
        <v>2222.2222222222222</v>
      </c>
      <c r="L603" s="501">
        <f>SUM(J603:K603)</f>
        <v>5833.333333333333</v>
      </c>
      <c r="M603" s="493"/>
      <c r="N603" s="507"/>
      <c r="O603" s="449"/>
    </row>
    <row r="604" spans="2:15" ht="14.25" hidden="1" customHeight="1" outlineLevel="1">
      <c r="B604" s="508" t="s">
        <v>690</v>
      </c>
      <c r="C604" s="15" t="str">
        <f>IFERROR(VLOOKUP(B604,MasterSheet!$B$6:$N$150,3,),"n/a")</f>
        <v xml:space="preserve">Cheese Taste Seasoning Mix </v>
      </c>
      <c r="D604" s="499">
        <f>D603*4%</f>
        <v>11.111111111111111</v>
      </c>
      <c r="E604" s="505" t="str">
        <f>IFERROR(VLOOKUP(B604,[4]MasterSheet!$B$6:$N$144,10,),"N/a")</f>
        <v>g</v>
      </c>
      <c r="F604" s="506">
        <f>IFERROR(VLOOKUP(B604,MasterSheet!$B$6:$N$150,11,),"N/a")</f>
        <v>294.48979591836735</v>
      </c>
      <c r="G604" s="488">
        <f t="shared" ref="G604:G617" si="158">IFERROR(D604*F604,"_")</f>
        <v>3272.1088435374149</v>
      </c>
      <c r="H604" s="905"/>
      <c r="I604" s="905"/>
      <c r="J604" s="491">
        <f t="shared" ref="J604:J615" si="159">D604*$J$600</f>
        <v>144.44444444444443</v>
      </c>
      <c r="K604" s="501">
        <f t="shared" ref="K604:K616" si="160">D604*$K$600</f>
        <v>88.888888888888886</v>
      </c>
      <c r="L604" s="501">
        <f t="shared" ref="L604:L615" si="161">SUM(J604:K604)</f>
        <v>233.33333333333331</v>
      </c>
      <c r="M604" s="493"/>
      <c r="N604" s="507"/>
      <c r="O604" s="449"/>
    </row>
    <row r="605" spans="2:15" ht="14.25" hidden="1" customHeight="1" outlineLevel="1">
      <c r="B605" s="508" t="s">
        <v>999</v>
      </c>
      <c r="C605" s="15" t="str">
        <f>IFERROR(VLOOKUP(B605,MasterSheet!$B$6:$N$150,3,),"n/a")</f>
        <v>Palm Oil</v>
      </c>
      <c r="D605" s="499">
        <f>D603*0.1</f>
        <v>27.777777777777779</v>
      </c>
      <c r="E605" s="505" t="str">
        <f>IFERROR(VLOOKUP(B605,[4]MasterSheet!$B$6:$N$144,10,),"N/a")</f>
        <v>g</v>
      </c>
      <c r="F605" s="506">
        <f>IFERROR(VLOOKUP(B605,MasterSheet!$B$6:$N$150,11,),"N/a")</f>
        <v>25.580404040404041</v>
      </c>
      <c r="G605" s="488">
        <f t="shared" si="158"/>
        <v>710.56677890011224</v>
      </c>
      <c r="H605" s="905"/>
      <c r="I605" s="905"/>
      <c r="J605" s="491">
        <f t="shared" si="159"/>
        <v>361.11111111111114</v>
      </c>
      <c r="K605" s="501">
        <f t="shared" si="160"/>
        <v>222.22222222222223</v>
      </c>
      <c r="L605" s="501">
        <f t="shared" si="161"/>
        <v>583.33333333333337</v>
      </c>
      <c r="M605" s="493"/>
      <c r="N605" s="507"/>
      <c r="O605" s="449"/>
    </row>
    <row r="606" spans="2:15" ht="14.25" hidden="1" customHeight="1" outlineLevel="1">
      <c r="B606" s="508" t="s">
        <v>804</v>
      </c>
      <c r="C606" s="15" t="str">
        <f>IFERROR(VLOOKUP(B606,MasterSheet!$B$6:$N$150,3,),"n/a")</f>
        <v>Lemon</v>
      </c>
      <c r="D606" s="499">
        <v>0.1</v>
      </c>
      <c r="E606" s="505" t="str">
        <f>IFERROR(VLOOKUP(B606,[4]MasterSheet!$B$6:$N$144,10,),"N/a")</f>
        <v>ea</v>
      </c>
      <c r="F606" s="506">
        <f>IFERROR(VLOOKUP(B606,MasterSheet!$B$6:$N$150,11,),"N/a")</f>
        <v>35.714285714285715</v>
      </c>
      <c r="G606" s="488">
        <f t="shared" si="158"/>
        <v>3.5714285714285716</v>
      </c>
      <c r="H606" s="905"/>
      <c r="I606" s="905"/>
      <c r="J606" s="491">
        <f t="shared" si="159"/>
        <v>1.3</v>
      </c>
      <c r="K606" s="501">
        <f t="shared" si="160"/>
        <v>0.8</v>
      </c>
      <c r="L606" s="501">
        <f t="shared" si="161"/>
        <v>2.1</v>
      </c>
      <c r="M606" s="493"/>
      <c r="N606" s="507"/>
      <c r="O606" s="449"/>
    </row>
    <row r="607" spans="2:15" ht="14.25" hidden="1" customHeight="1" outlineLevel="1">
      <c r="B607" s="508" t="s">
        <v>785</v>
      </c>
      <c r="C607" s="15" t="str">
        <f>IFERROR(VLOOKUP(B607,MasterSheet!$B$6:$N$150,3,),"n/a")</f>
        <v xml:space="preserve">Black Tea (w/water) </v>
      </c>
      <c r="D607" s="499">
        <v>250</v>
      </c>
      <c r="E607" s="505" t="str">
        <f>IFERROR(VLOOKUP(B607,[4]MasterSheet!$B$6:$N$144,10,),"N/a")</f>
        <v>g</v>
      </c>
      <c r="F607" s="506">
        <f>IFERROR(VLOOKUP(B607,MasterSheet!$B$6:$N$150,11,),"N/a")</f>
        <v>1.6818181818181819</v>
      </c>
      <c r="G607" s="488">
        <f t="shared" si="158"/>
        <v>420.4545454545455</v>
      </c>
      <c r="H607" s="905"/>
      <c r="I607" s="905"/>
      <c r="J607" s="491">
        <f t="shared" si="159"/>
        <v>3250</v>
      </c>
      <c r="K607" s="501">
        <f t="shared" si="160"/>
        <v>2000</v>
      </c>
      <c r="L607" s="501">
        <f t="shared" si="161"/>
        <v>5250</v>
      </c>
      <c r="M607" s="493"/>
      <c r="N607" s="507"/>
      <c r="O607" s="449"/>
    </row>
    <row r="608" spans="2:15" ht="14.25" hidden="1" customHeight="1" outlineLevel="1">
      <c r="B608" s="508" t="s">
        <v>1029</v>
      </c>
      <c r="C608" s="15" t="str">
        <f>IFERROR(VLOOKUP(B608,MasterSheet!$B$6:$N$150,3,),"n/a")</f>
        <v>GIMBORI (Crispy Seaweed)</v>
      </c>
      <c r="D608" s="499">
        <v>1</v>
      </c>
      <c r="E608" s="505" t="str">
        <f>IFERROR(VLOOKUP(B608,[4]MasterSheet!$B$6:$N$144,10,),"N/a")</f>
        <v>g</v>
      </c>
      <c r="F608" s="506">
        <f>IFERROR(VLOOKUP(B608,MasterSheet!$B$6:$N$150,11,),"N/a")</f>
        <v>390.90909090909093</v>
      </c>
      <c r="G608" s="488">
        <f t="shared" si="158"/>
        <v>390.90909090909093</v>
      </c>
      <c r="H608" s="905"/>
      <c r="I608" s="905"/>
      <c r="J608" s="491">
        <f t="shared" si="159"/>
        <v>13</v>
      </c>
      <c r="K608" s="501">
        <f t="shared" si="160"/>
        <v>8</v>
      </c>
      <c r="L608" s="501">
        <f t="shared" si="161"/>
        <v>21</v>
      </c>
      <c r="M608" s="493"/>
      <c r="N608" s="507"/>
      <c r="O608" s="449"/>
    </row>
    <row r="609" spans="2:15" ht="14.25" hidden="1" customHeight="1" outlineLevel="1">
      <c r="B609" s="509" t="s">
        <v>568</v>
      </c>
      <c r="C609" s="15" t="str">
        <f>VLOOKUP(B609,CK!$B$8:$L$87,4,)</f>
        <v>Battering Powder Mix C Solution(Yellow)</v>
      </c>
      <c r="D609" s="510">
        <f>D603*0.21</f>
        <v>58.333333333333329</v>
      </c>
      <c r="E609" s="505" t="str">
        <f>VLOOKUP(B609,[4]CK!$B$8:$L$87,9,)</f>
        <v>g</v>
      </c>
      <c r="F609" s="506">
        <f>VLOOKUP(B609,CK!$B$8:$L$87,10,)</f>
        <v>23.80952380952381</v>
      </c>
      <c r="G609" s="488">
        <f t="shared" si="158"/>
        <v>1388.8888888888889</v>
      </c>
      <c r="H609" s="905"/>
      <c r="I609" s="905"/>
      <c r="J609" s="491">
        <f t="shared" si="159"/>
        <v>758.33333333333326</v>
      </c>
      <c r="K609" s="501">
        <f t="shared" si="160"/>
        <v>466.66666666666663</v>
      </c>
      <c r="L609" s="501">
        <f t="shared" si="161"/>
        <v>1225</v>
      </c>
      <c r="M609" s="493"/>
      <c r="N609" s="507"/>
      <c r="O609" s="449"/>
    </row>
    <row r="610" spans="2:15" ht="14.25" hidden="1" customHeight="1" outlineLevel="1">
      <c r="B610" s="509" t="s">
        <v>1117</v>
      </c>
      <c r="C610" s="15" t="str">
        <f>VLOOKUP(B610,CK!$B$8:$L$87,4,)</f>
        <v>French Fries</v>
      </c>
      <c r="D610" s="510">
        <v>100</v>
      </c>
      <c r="E610" s="505" t="str">
        <f>VLOOKUP(B610,[4]CK!$B$8:$L$87,9,)</f>
        <v>g</v>
      </c>
      <c r="F610" s="506">
        <f>VLOOKUP(B610,CK!$B$8:$L$87,10,)</f>
        <v>43.15228956228956</v>
      </c>
      <c r="G610" s="488">
        <f t="shared" si="158"/>
        <v>4315.2289562289561</v>
      </c>
      <c r="H610" s="905"/>
      <c r="I610" s="905"/>
      <c r="J610" s="491">
        <f t="shared" si="159"/>
        <v>1300</v>
      </c>
      <c r="K610" s="501">
        <f t="shared" si="160"/>
        <v>800</v>
      </c>
      <c r="L610" s="501">
        <f t="shared" si="161"/>
        <v>2100</v>
      </c>
      <c r="M610" s="493"/>
      <c r="N610" s="507"/>
      <c r="O610" s="449"/>
    </row>
    <row r="611" spans="2:15" ht="14.25" hidden="1" customHeight="1" outlineLevel="1">
      <c r="B611" s="523" t="s">
        <v>1341</v>
      </c>
      <c r="C611" s="15" t="str">
        <f>IFERROR(VLOOKUP(B611,MasterSheet!$B$6:$N$521,3,),"n/a")</f>
        <v>BB.Q Papertray</v>
      </c>
      <c r="D611" s="510">
        <v>1</v>
      </c>
      <c r="E611" s="505" t="str">
        <f>IFERROR(VLOOKUP(B611,[4]MasterSheet!$B$6:$N$515,10,),"N/a")</f>
        <v>ea</v>
      </c>
      <c r="F611" s="506">
        <f>IFERROR(VLOOKUP(B611,MasterSheet!$B$6:$N$521,11,),"N/a")</f>
        <v>600</v>
      </c>
      <c r="G611" s="488">
        <f t="shared" si="158"/>
        <v>600</v>
      </c>
      <c r="H611" s="905"/>
      <c r="I611" s="905"/>
      <c r="J611" s="491">
        <f t="shared" si="159"/>
        <v>13</v>
      </c>
      <c r="K611" s="501"/>
      <c r="L611" s="501">
        <f t="shared" si="161"/>
        <v>13</v>
      </c>
      <c r="M611" s="493"/>
      <c r="N611" s="507"/>
      <c r="O611" s="449"/>
    </row>
    <row r="612" spans="2:15" ht="14.25" hidden="1" customHeight="1" outlineLevel="1">
      <c r="B612" s="523" t="s">
        <v>1335</v>
      </c>
      <c r="C612" s="15" t="str">
        <f>IFERROR(VLOOKUP(B612,MasterSheet!$B$6:$N$521,3,),"n/a")</f>
        <v xml:space="preserve">BB.Q FOODPAIL M </v>
      </c>
      <c r="D612" s="510">
        <v>1</v>
      </c>
      <c r="E612" s="505" t="str">
        <f>IFERROR(VLOOKUP(B612,[4]MasterSheet!$B$6:$N$515,10,),"N/a")</f>
        <v>ea</v>
      </c>
      <c r="F612" s="506">
        <f>IFERROR(VLOOKUP(B612,MasterSheet!$B$6:$N$521,11,),"N/a")</f>
        <v>1204</v>
      </c>
      <c r="G612" s="488">
        <f t="shared" si="158"/>
        <v>1204</v>
      </c>
      <c r="H612" s="905"/>
      <c r="I612" s="905"/>
      <c r="J612" s="491"/>
      <c r="K612" s="501">
        <f t="shared" si="160"/>
        <v>8</v>
      </c>
      <c r="L612" s="501">
        <f t="shared" si="161"/>
        <v>8</v>
      </c>
      <c r="M612" s="493"/>
      <c r="N612" s="507"/>
      <c r="O612" s="449"/>
    </row>
    <row r="613" spans="2:15" ht="14.25" hidden="1" customHeight="1" outlineLevel="1">
      <c r="B613" s="523" t="s">
        <v>1365</v>
      </c>
      <c r="C613" s="15" t="str">
        <f>IFERROR(VLOOKUP(B613,MasterSheet!$B$6:$N$521,3,),"n/a")</f>
        <v>Drink Package(16oz)</v>
      </c>
      <c r="D613" s="510">
        <v>1</v>
      </c>
      <c r="E613" s="505" t="str">
        <f>IFERROR(VLOOKUP(B613,[4]MasterSheet!$B$6:$N$515,10,),"N/a")</f>
        <v>ea</v>
      </c>
      <c r="F613" s="506">
        <f>IFERROR(VLOOKUP(B613,MasterSheet!$B$6:$N$521,11,),"N/a")</f>
        <v>750</v>
      </c>
      <c r="G613" s="488">
        <f t="shared" si="158"/>
        <v>750</v>
      </c>
      <c r="H613" s="905"/>
      <c r="I613" s="905"/>
      <c r="J613" s="491">
        <f t="shared" si="159"/>
        <v>13</v>
      </c>
      <c r="K613" s="501">
        <f t="shared" si="160"/>
        <v>8</v>
      </c>
      <c r="L613" s="501">
        <f t="shared" si="161"/>
        <v>21</v>
      </c>
      <c r="M613" s="493"/>
      <c r="N613" s="507"/>
      <c r="O613" s="449"/>
    </row>
    <row r="614" spans="2:15" ht="14.25" hidden="1" customHeight="1" outlineLevel="1">
      <c r="B614" s="523" t="s">
        <v>1384</v>
      </c>
      <c r="C614" s="15" t="str">
        <f>IFERROR(VLOOKUP(B614,MasterSheet!$B$6:$N$521,3,),"n/a")</f>
        <v>DRINK PACKAGE LID(16OZ)</v>
      </c>
      <c r="D614" s="510">
        <v>1</v>
      </c>
      <c r="E614" s="505" t="str">
        <f>IFERROR(VLOOKUP(B614,[4]MasterSheet!$B$6:$N$515,10,),"N/a")</f>
        <v>ea</v>
      </c>
      <c r="F614" s="506">
        <f>IFERROR(VLOOKUP(B614,MasterSheet!$B$6:$N$521,11,),"N/a")</f>
        <v>200</v>
      </c>
      <c r="G614" s="488">
        <f t="shared" si="158"/>
        <v>200</v>
      </c>
      <c r="H614" s="905"/>
      <c r="I614" s="905"/>
      <c r="J614" s="491"/>
      <c r="K614" s="501">
        <f t="shared" si="160"/>
        <v>8</v>
      </c>
      <c r="L614" s="501">
        <f t="shared" si="161"/>
        <v>8</v>
      </c>
      <c r="M614" s="493"/>
      <c r="N614" s="507"/>
      <c r="O614" s="449"/>
    </row>
    <row r="615" spans="2:15" ht="14.25" hidden="1" customHeight="1" outlineLevel="1">
      <c r="B615" s="523" t="s">
        <v>1162</v>
      </c>
      <c r="C615" s="15" t="str">
        <f>IFERROR(VLOOKUP(B615,MasterSheet!$B$6:$N$521,3,),"n/a")</f>
        <v xml:space="preserve">BB.Q POTATO FRIES BOX (Dine-in) </v>
      </c>
      <c r="D615" s="510">
        <v>1</v>
      </c>
      <c r="E615" s="505" t="str">
        <f>IFERROR(VLOOKUP(B615,[4]MasterSheet!$B$6:$N$515,10,),"N/a")</f>
        <v>ea</v>
      </c>
      <c r="F615" s="506">
        <f>IFERROR(VLOOKUP(B615,MasterSheet!$B$6:$N$521,11,),"N/a")</f>
        <v>535</v>
      </c>
      <c r="G615" s="488">
        <f t="shared" si="158"/>
        <v>535</v>
      </c>
      <c r="H615" s="905"/>
      <c r="I615" s="905"/>
      <c r="J615" s="491">
        <f t="shared" si="159"/>
        <v>13</v>
      </c>
      <c r="K615" s="501"/>
      <c r="L615" s="501">
        <f t="shared" si="161"/>
        <v>13</v>
      </c>
      <c r="M615" s="493"/>
      <c r="N615" s="507"/>
      <c r="O615" s="449"/>
    </row>
    <row r="616" spans="2:15" ht="14.25" hidden="1" customHeight="1" outlineLevel="1">
      <c r="B616" s="523" t="s">
        <v>1395</v>
      </c>
      <c r="C616" s="15" t="str">
        <f>IFERROR(VLOOKUP(B616,MasterSheet!$B$6:$N$521,3,),"n/a")</f>
        <v>BB.Q PAPER BAG FRIES (TakeAway)</v>
      </c>
      <c r="D616" s="510">
        <v>1</v>
      </c>
      <c r="E616" s="505" t="str">
        <f>IFERROR(VLOOKUP(B616,[4]MasterSheet!$B$6:$N$515,10,),"N/a")</f>
        <v>ea</v>
      </c>
      <c r="F616" s="506">
        <f>IFERROR(VLOOKUP(B616,MasterSheet!$B$6:$N$521,11,),"N/a")</f>
        <v>737</v>
      </c>
      <c r="G616" s="488">
        <f t="shared" si="158"/>
        <v>737</v>
      </c>
      <c r="H616" s="905"/>
      <c r="I616" s="905"/>
      <c r="J616" s="491"/>
      <c r="K616" s="501">
        <f t="shared" si="160"/>
        <v>8</v>
      </c>
      <c r="L616" s="501"/>
      <c r="M616" s="493"/>
      <c r="N616" s="507"/>
      <c r="O616" s="449"/>
    </row>
    <row r="617" spans="2:15" ht="14.65" hidden="1" customHeight="1" outlineLevel="1" thickBot="1">
      <c r="B617" s="524" t="s">
        <v>1150</v>
      </c>
      <c r="C617" s="512" t="str">
        <f>IFERROR(VLOOKUP(B617,MasterSheet!$B$6:$N$421,3,),"n/a")</f>
        <v>PARCHMENT PAPER / WRAPPING RICE</v>
      </c>
      <c r="D617" s="513">
        <v>1</v>
      </c>
      <c r="E617" s="514" t="str">
        <f>IFERROR(VLOOKUP(B617,[4]MasterSheet!B395:N986,10,),"N/a")</f>
        <v>N/a</v>
      </c>
      <c r="F617" s="515">
        <f>IFERROR(VLOOKUP(B617,MasterSheet!$B$6:$N$421,11,),"N/a")</f>
        <v>216.45</v>
      </c>
      <c r="G617" s="516">
        <f t="shared" si="158"/>
        <v>216.45</v>
      </c>
      <c r="H617" s="916"/>
      <c r="I617" s="916"/>
      <c r="J617" s="517">
        <f>D617*$J$600</f>
        <v>13</v>
      </c>
      <c r="K617" s="518">
        <f>D617*$K$600</f>
        <v>8</v>
      </c>
      <c r="L617" s="518">
        <f>SUM(J617:K617)</f>
        <v>21</v>
      </c>
      <c r="M617" s="519"/>
      <c r="N617" s="520"/>
      <c r="O617" s="449"/>
    </row>
    <row r="618" spans="2:15" collapsed="1">
      <c r="B618" s="219" t="s">
        <v>1464</v>
      </c>
      <c r="C618" s="15" t="s">
        <v>1466</v>
      </c>
      <c r="D618" s="184">
        <f>E618*(1+$E$8)</f>
        <v>66000</v>
      </c>
      <c r="E618" s="184">
        <v>60000</v>
      </c>
      <c r="F618" s="174">
        <f>H621</f>
        <v>23097.099624017956</v>
      </c>
      <c r="G618" s="489">
        <f>I621</f>
        <v>24137.099624017956</v>
      </c>
      <c r="H618" s="500">
        <f>F618/E618</f>
        <v>0.38495166040029927</v>
      </c>
      <c r="I618" s="500">
        <f>G618/E618</f>
        <v>0.40228499373363258</v>
      </c>
      <c r="J618" s="501">
        <f>VLOOKUP(B618,'SALES MIX'!B14:J104,4)</f>
        <v>12</v>
      </c>
      <c r="K618" s="501">
        <f>VLOOKUP(B618,'SALES MIX'!B14:J104,5)</f>
        <v>5</v>
      </c>
      <c r="L618" s="221">
        <f>((F618*J618)+(G618*K618))/((J618+K618)*E618)</f>
        <v>0.39004969961598551</v>
      </c>
      <c r="M618" s="493"/>
      <c r="N618" s="493"/>
      <c r="O618" s="449"/>
    </row>
    <row r="619" spans="2:15" ht="14.65" hidden="1" customHeight="1" outlineLevel="1" thickTop="1">
      <c r="B619" s="913" t="s">
        <v>608</v>
      </c>
      <c r="C619" s="914" t="s">
        <v>1305</v>
      </c>
      <c r="D619" s="915" t="s">
        <v>1306</v>
      </c>
      <c r="E619" s="915" t="s">
        <v>60</v>
      </c>
      <c r="F619" s="915" t="s">
        <v>615</v>
      </c>
      <c r="G619" s="915" t="s">
        <v>755</v>
      </c>
      <c r="H619" s="907" t="s">
        <v>1312</v>
      </c>
      <c r="I619" s="907"/>
      <c r="J619" s="907" t="s">
        <v>1319</v>
      </c>
      <c r="K619" s="907"/>
      <c r="L619" s="908" t="s">
        <v>1313</v>
      </c>
      <c r="M619" s="907" t="s">
        <v>912</v>
      </c>
      <c r="N619" s="917"/>
      <c r="O619" s="449"/>
    </row>
    <row r="620" spans="2:15" ht="14.65" hidden="1" customHeight="1" outlineLevel="1" thickBot="1">
      <c r="B620" s="894"/>
      <c r="C620" s="896"/>
      <c r="D620" s="898"/>
      <c r="E620" s="898"/>
      <c r="F620" s="898"/>
      <c r="G620" s="898"/>
      <c r="H620" s="502" t="s">
        <v>1309</v>
      </c>
      <c r="I620" s="502" t="s">
        <v>1308</v>
      </c>
      <c r="J620" s="502" t="s">
        <v>1309</v>
      </c>
      <c r="K620" s="502" t="s">
        <v>1308</v>
      </c>
      <c r="L620" s="901"/>
      <c r="M620" s="903"/>
      <c r="N620" s="904"/>
      <c r="O620" s="449"/>
    </row>
    <row r="621" spans="2:15" ht="14.25" hidden="1" customHeight="1" outlineLevel="1">
      <c r="B621" s="504" t="s">
        <v>631</v>
      </c>
      <c r="C621" s="15" t="str">
        <f>IFERROR(VLOOKUP(B621,MasterSheet!$B$6:$N$150,3,),"n/a")</f>
        <v>Injected Whole Chicken (1.25kg)</v>
      </c>
      <c r="D621" s="499">
        <f>1250/9*2</f>
        <v>277.77777777777777</v>
      </c>
      <c r="E621" s="505" t="str">
        <f>IFERROR(VLOOKUP(B621,[4]MasterSheet!$B$6:$N$144,10,),"N/a")</f>
        <v>g</v>
      </c>
      <c r="F621" s="506">
        <f>IFERROR(VLOOKUP(B621,MasterSheet!$B$6:$N$150,11,),"N/a")</f>
        <v>34.314223999999996</v>
      </c>
      <c r="G621" s="488">
        <f>IFERROR(D621*F621,"_")</f>
        <v>9531.728888888887</v>
      </c>
      <c r="H621" s="905">
        <f>SUM(G621:G629,G631,G635,G633)</f>
        <v>23097.099624017956</v>
      </c>
      <c r="I621" s="905">
        <f>SUM(G621:G628,G630,G631,G635,G632,G634)</f>
        <v>24137.099624017956</v>
      </c>
      <c r="J621" s="491">
        <f>D621*$J$618</f>
        <v>3333.333333333333</v>
      </c>
      <c r="K621" s="501">
        <f>D621*$K$618</f>
        <v>1388.8888888888889</v>
      </c>
      <c r="L621" s="501">
        <f>SUM(J621:K621)</f>
        <v>4722.2222222222217</v>
      </c>
      <c r="M621" s="493"/>
      <c r="N621" s="507"/>
      <c r="O621" s="449"/>
    </row>
    <row r="622" spans="2:15" ht="14.25" hidden="1" customHeight="1" outlineLevel="1">
      <c r="B622" s="508" t="s">
        <v>664</v>
      </c>
      <c r="C622" s="15" t="str">
        <f>IFERROR(VLOOKUP(B622,MasterSheet!$B$6:$N$150,3,),"n/a")</f>
        <v>Mala Hot Sauce</v>
      </c>
      <c r="D622" s="499">
        <f>D621*12%</f>
        <v>33.333333333333329</v>
      </c>
      <c r="E622" s="505" t="str">
        <f>IFERROR(VLOOKUP(B622,[4]MasterSheet!$B$6:$N$144,10,),"N/a")</f>
        <v>g</v>
      </c>
      <c r="F622" s="506">
        <f>IFERROR(VLOOKUP(B622,MasterSheet!$B$6:$N$150,11,),"N/a")</f>
        <v>125.26041666666667</v>
      </c>
      <c r="G622" s="488">
        <f t="shared" ref="G622:G635" si="162">IFERROR(D622*F622,"_")</f>
        <v>4175.3472222222217</v>
      </c>
      <c r="H622" s="905"/>
      <c r="I622" s="905"/>
      <c r="J622" s="491">
        <f t="shared" ref="J622:J633" si="163">D622*$J$618</f>
        <v>399.99999999999994</v>
      </c>
      <c r="K622" s="501">
        <f t="shared" ref="K622:K634" si="164">D622*$K$618</f>
        <v>166.66666666666663</v>
      </c>
      <c r="L622" s="501">
        <f t="shared" ref="L622:L635" si="165">SUM(J622:K622)</f>
        <v>566.66666666666652</v>
      </c>
      <c r="M622" s="493"/>
      <c r="N622" s="507"/>
      <c r="O622" s="449"/>
    </row>
    <row r="623" spans="2:15" ht="14.25" hidden="1" customHeight="1" outlineLevel="1">
      <c r="B623" s="508" t="s">
        <v>999</v>
      </c>
      <c r="C623" s="15" t="str">
        <f>IFERROR(VLOOKUP(B623,MasterSheet!$B$6:$N$150,3,),"n/a")</f>
        <v>Palm Oil</v>
      </c>
      <c r="D623" s="499">
        <f>D621*0.1</f>
        <v>27.777777777777779</v>
      </c>
      <c r="E623" s="505" t="str">
        <f>IFERROR(VLOOKUP(B623,[4]MasterSheet!$B$6:$N$144,10,),"N/a")</f>
        <v>g</v>
      </c>
      <c r="F623" s="506">
        <f>IFERROR(VLOOKUP(B623,MasterSheet!$B$6:$N$150,11,),"N/a")</f>
        <v>25.580404040404041</v>
      </c>
      <c r="G623" s="488">
        <f t="shared" si="162"/>
        <v>710.56677890011224</v>
      </c>
      <c r="H623" s="905"/>
      <c r="I623" s="905"/>
      <c r="J623" s="491">
        <f t="shared" si="163"/>
        <v>333.33333333333337</v>
      </c>
      <c r="K623" s="501">
        <f t="shared" si="164"/>
        <v>138.88888888888889</v>
      </c>
      <c r="L623" s="501">
        <f t="shared" si="165"/>
        <v>472.22222222222229</v>
      </c>
      <c r="M623" s="493"/>
      <c r="N623" s="507"/>
      <c r="O623" s="449"/>
    </row>
    <row r="624" spans="2:15" ht="14.25" hidden="1" customHeight="1" outlineLevel="1">
      <c r="B624" s="508" t="s">
        <v>1108</v>
      </c>
      <c r="C624" s="15" t="str">
        <f>IFERROR(VLOOKUP(B624,MasterSheet!$B$6:$N$150,3,),"n/a")</f>
        <v>Crushed Peanut</v>
      </c>
      <c r="D624" s="499">
        <v>1</v>
      </c>
      <c r="E624" s="505" t="str">
        <f>IFERROR(VLOOKUP(B624,[4]MasterSheet!$B$6:$N$144,10,),"N/a")</f>
        <v>g</v>
      </c>
      <c r="F624" s="506">
        <f>IFERROR(VLOOKUP(B624,MasterSheet!$B$6:$N$150,11,),"N/a")</f>
        <v>62.525252525252526</v>
      </c>
      <c r="G624" s="488">
        <f t="shared" si="162"/>
        <v>62.525252525252526</v>
      </c>
      <c r="H624" s="905"/>
      <c r="I624" s="905"/>
      <c r="J624" s="491">
        <f t="shared" si="163"/>
        <v>12</v>
      </c>
      <c r="K624" s="501">
        <f t="shared" si="164"/>
        <v>5</v>
      </c>
      <c r="L624" s="501">
        <f t="shared" si="165"/>
        <v>17</v>
      </c>
      <c r="M624" s="493"/>
      <c r="N624" s="507"/>
      <c r="O624" s="449"/>
    </row>
    <row r="625" spans="2:15" ht="14.25" hidden="1" customHeight="1" outlineLevel="1">
      <c r="B625" s="508" t="s">
        <v>785</v>
      </c>
      <c r="C625" s="15" t="str">
        <f>IFERROR(VLOOKUP(B625,MasterSheet!$B$6:$N$150,3,),"n/a")</f>
        <v xml:space="preserve">Black Tea (w/water) </v>
      </c>
      <c r="D625" s="499">
        <v>250</v>
      </c>
      <c r="E625" s="505" t="str">
        <f>IFERROR(VLOOKUP(B625,[4]MasterSheet!$B$6:$N$144,10,),"N/a")</f>
        <v>g</v>
      </c>
      <c r="F625" s="506">
        <f>IFERROR(VLOOKUP(B625,MasterSheet!$B$6:$N$150,11,),"N/a")</f>
        <v>1.6818181818181819</v>
      </c>
      <c r="G625" s="488">
        <f t="shared" si="162"/>
        <v>420.4545454545455</v>
      </c>
      <c r="H625" s="905"/>
      <c r="I625" s="905"/>
      <c r="J625" s="491">
        <f t="shared" si="163"/>
        <v>3000</v>
      </c>
      <c r="K625" s="501">
        <f t="shared" si="164"/>
        <v>1250</v>
      </c>
      <c r="L625" s="501">
        <f t="shared" si="165"/>
        <v>4250</v>
      </c>
      <c r="M625" s="493"/>
      <c r="N625" s="507"/>
      <c r="O625" s="449"/>
    </row>
    <row r="626" spans="2:15" ht="14.25" hidden="1" customHeight="1" outlineLevel="1">
      <c r="B626" s="508" t="s">
        <v>1029</v>
      </c>
      <c r="C626" s="15" t="str">
        <f>IFERROR(VLOOKUP(B626,MasterSheet!$B$6:$N$150,3,),"n/a")</f>
        <v>GIMBORI (Crispy Seaweed)</v>
      </c>
      <c r="D626" s="499">
        <v>1</v>
      </c>
      <c r="E626" s="505" t="str">
        <f>IFERROR(VLOOKUP(B626,[4]MasterSheet!$B$6:$N$144,10,),"N/a")</f>
        <v>g</v>
      </c>
      <c r="F626" s="506">
        <f>IFERROR(VLOOKUP(B626,MasterSheet!$B$6:$N$150,11,),"N/a")</f>
        <v>390.90909090909093</v>
      </c>
      <c r="G626" s="488">
        <f t="shared" si="162"/>
        <v>390.90909090909093</v>
      </c>
      <c r="H626" s="905"/>
      <c r="I626" s="905"/>
      <c r="J626" s="491">
        <f t="shared" si="163"/>
        <v>12</v>
      </c>
      <c r="K626" s="501">
        <f t="shared" si="164"/>
        <v>5</v>
      </c>
      <c r="L626" s="501">
        <f t="shared" si="165"/>
        <v>17</v>
      </c>
      <c r="M626" s="493"/>
      <c r="N626" s="507"/>
      <c r="O626" s="449"/>
    </row>
    <row r="627" spans="2:15" ht="14.25" hidden="1" customHeight="1" outlineLevel="1">
      <c r="B627" s="509" t="s">
        <v>568</v>
      </c>
      <c r="C627" s="15" t="str">
        <f>VLOOKUP(B627,CK!$B$8:$L$87,4,)</f>
        <v>Battering Powder Mix C Solution(Yellow)</v>
      </c>
      <c r="D627" s="510">
        <f>D621*0.21</f>
        <v>58.333333333333329</v>
      </c>
      <c r="E627" s="505" t="str">
        <f>VLOOKUP(B627,[4]CK!$B$8:$L$87,9,)</f>
        <v>g</v>
      </c>
      <c r="F627" s="506">
        <f>VLOOKUP(B627,CK!$B$8:$L$87,10,)</f>
        <v>23.80952380952381</v>
      </c>
      <c r="G627" s="488">
        <f t="shared" si="162"/>
        <v>1388.8888888888889</v>
      </c>
      <c r="H627" s="905"/>
      <c r="I627" s="905"/>
      <c r="J627" s="491">
        <f t="shared" si="163"/>
        <v>700</v>
      </c>
      <c r="K627" s="501">
        <f t="shared" si="164"/>
        <v>291.66666666666663</v>
      </c>
      <c r="L627" s="501">
        <f t="shared" si="165"/>
        <v>991.66666666666663</v>
      </c>
      <c r="M627" s="493"/>
      <c r="N627" s="507"/>
      <c r="O627" s="449"/>
    </row>
    <row r="628" spans="2:15" ht="14.25" hidden="1" customHeight="1" outlineLevel="1">
      <c r="B628" s="509" t="s">
        <v>1117</v>
      </c>
      <c r="C628" s="15" t="str">
        <f>VLOOKUP(B628,CK!$B$8:$L$87,4,)</f>
        <v>French Fries</v>
      </c>
      <c r="D628" s="510">
        <v>100</v>
      </c>
      <c r="E628" s="505" t="str">
        <f>VLOOKUP(B628,[4]CK!$B$8:$L$87,9,)</f>
        <v>g</v>
      </c>
      <c r="F628" s="506">
        <f>VLOOKUP(B628,CK!$B$8:$L$87,10,)</f>
        <v>43.15228956228956</v>
      </c>
      <c r="G628" s="488">
        <f t="shared" si="162"/>
        <v>4315.2289562289561</v>
      </c>
      <c r="H628" s="905"/>
      <c r="I628" s="905"/>
      <c r="J628" s="491">
        <f t="shared" si="163"/>
        <v>1200</v>
      </c>
      <c r="K628" s="501">
        <f t="shared" si="164"/>
        <v>500</v>
      </c>
      <c r="L628" s="501">
        <f t="shared" si="165"/>
        <v>1700</v>
      </c>
      <c r="M628" s="493"/>
      <c r="N628" s="507"/>
      <c r="O628" s="449"/>
    </row>
    <row r="629" spans="2:15" ht="14.25" hidden="1" customHeight="1" outlineLevel="1">
      <c r="B629" s="523" t="s">
        <v>1341</v>
      </c>
      <c r="C629" s="15" t="str">
        <f>IFERROR(VLOOKUP(B629,MasterSheet!$B$6:$N$521,3,),"n/a")</f>
        <v>BB.Q Papertray</v>
      </c>
      <c r="D629" s="510">
        <v>1</v>
      </c>
      <c r="E629" s="505" t="str">
        <f>IFERROR(VLOOKUP(B629,[4]MasterSheet!$B$6:$N$515,10,),"N/a")</f>
        <v>ea</v>
      </c>
      <c r="F629" s="506">
        <f>IFERROR(VLOOKUP(B629,MasterSheet!$B$6:$N$521,11,),"N/a")</f>
        <v>600</v>
      </c>
      <c r="G629" s="488">
        <f t="shared" si="162"/>
        <v>600</v>
      </c>
      <c r="H629" s="905"/>
      <c r="I629" s="905"/>
      <c r="J629" s="491">
        <f t="shared" si="163"/>
        <v>12</v>
      </c>
      <c r="K629" s="501"/>
      <c r="L629" s="501">
        <f t="shared" si="165"/>
        <v>12</v>
      </c>
      <c r="M629" s="493"/>
      <c r="N629" s="507"/>
      <c r="O629" s="449"/>
    </row>
    <row r="630" spans="2:15" ht="14.25" hidden="1" customHeight="1" outlineLevel="1">
      <c r="B630" s="523" t="s">
        <v>1337</v>
      </c>
      <c r="C630" s="15" t="str">
        <f>IFERROR(VLOOKUP(B630,MasterSheet!$B$6:$N$521,3,),"n/a")</f>
        <v>BB.Q FOODPAIL L</v>
      </c>
      <c r="D630" s="510">
        <v>1</v>
      </c>
      <c r="E630" s="505" t="str">
        <f>IFERROR(VLOOKUP(B630,[4]MasterSheet!$B$6:$N$515,10,),"N/a")</f>
        <v>ea</v>
      </c>
      <c r="F630" s="506">
        <f>IFERROR(VLOOKUP(B630,MasterSheet!$B$6:$N$521,11,),"N/a")</f>
        <v>1238</v>
      </c>
      <c r="G630" s="488">
        <f t="shared" si="162"/>
        <v>1238</v>
      </c>
      <c r="H630" s="905"/>
      <c r="I630" s="905"/>
      <c r="J630" s="491"/>
      <c r="K630" s="501">
        <f t="shared" si="164"/>
        <v>5</v>
      </c>
      <c r="L630" s="501">
        <f t="shared" si="165"/>
        <v>5</v>
      </c>
      <c r="M630" s="493"/>
      <c r="N630" s="507"/>
      <c r="O630" s="449"/>
    </row>
    <row r="631" spans="2:15" ht="14.25" hidden="1" customHeight="1" outlineLevel="1">
      <c r="B631" s="523" t="s">
        <v>1365</v>
      </c>
      <c r="C631" s="15" t="str">
        <f>IFERROR(VLOOKUP(B631,MasterSheet!$B$6:$N$521,3,),"n/a")</f>
        <v>Drink Package(16oz)</v>
      </c>
      <c r="D631" s="510">
        <v>1</v>
      </c>
      <c r="E631" s="505" t="str">
        <f>IFERROR(VLOOKUP(B631,[4]MasterSheet!$B$6:$N$515,10,),"N/a")</f>
        <v>ea</v>
      </c>
      <c r="F631" s="506">
        <f>IFERROR(VLOOKUP(B631,MasterSheet!$B$6:$N$521,11,),"N/a")</f>
        <v>750</v>
      </c>
      <c r="G631" s="488">
        <f t="shared" si="162"/>
        <v>750</v>
      </c>
      <c r="H631" s="905"/>
      <c r="I631" s="905"/>
      <c r="J631" s="491">
        <f t="shared" si="163"/>
        <v>12</v>
      </c>
      <c r="K631" s="501">
        <f t="shared" si="164"/>
        <v>5</v>
      </c>
      <c r="L631" s="501">
        <f t="shared" si="165"/>
        <v>17</v>
      </c>
      <c r="M631" s="493"/>
      <c r="N631" s="507"/>
      <c r="O631" s="449"/>
    </row>
    <row r="632" spans="2:15" ht="14.25" hidden="1" customHeight="1" outlineLevel="1">
      <c r="B632" s="523" t="s">
        <v>1384</v>
      </c>
      <c r="C632" s="15" t="str">
        <f>IFERROR(VLOOKUP(B632,MasterSheet!$B$6:$N$521,3,),"n/a")</f>
        <v>DRINK PACKAGE LID(16OZ)</v>
      </c>
      <c r="D632" s="510">
        <v>1</v>
      </c>
      <c r="E632" s="505" t="str">
        <f>IFERROR(VLOOKUP(B632,[4]MasterSheet!$B$6:$N$515,10,),"N/a")</f>
        <v>ea</v>
      </c>
      <c r="F632" s="506">
        <f>IFERROR(VLOOKUP(B632,MasterSheet!$B$6:$N$521,11,),"N/a")</f>
        <v>200</v>
      </c>
      <c r="G632" s="488">
        <f t="shared" si="162"/>
        <v>200</v>
      </c>
      <c r="H632" s="905"/>
      <c r="I632" s="905"/>
      <c r="J632" s="491"/>
      <c r="K632" s="501">
        <f t="shared" si="164"/>
        <v>5</v>
      </c>
      <c r="L632" s="501">
        <f t="shared" si="165"/>
        <v>5</v>
      </c>
      <c r="M632" s="493"/>
      <c r="N632" s="507"/>
      <c r="O632" s="449"/>
    </row>
    <row r="633" spans="2:15" ht="14.25" hidden="1" customHeight="1" outlineLevel="1">
      <c r="B633" s="523" t="s">
        <v>1162</v>
      </c>
      <c r="C633" s="15" t="str">
        <f>IFERROR(VLOOKUP(B633,MasterSheet!$B$6:$N$521,3,),"n/a")</f>
        <v xml:space="preserve">BB.Q POTATO FRIES BOX (Dine-in) </v>
      </c>
      <c r="D633" s="510">
        <v>1</v>
      </c>
      <c r="E633" s="505" t="str">
        <f>IFERROR(VLOOKUP(B633,[4]MasterSheet!$B$6:$N$515,10,),"N/a")</f>
        <v>ea</v>
      </c>
      <c r="F633" s="506">
        <f>IFERROR(VLOOKUP(B633,MasterSheet!$B$6:$N$521,11,),"N/a")</f>
        <v>535</v>
      </c>
      <c r="G633" s="488">
        <f t="shared" si="162"/>
        <v>535</v>
      </c>
      <c r="H633" s="905"/>
      <c r="I633" s="905"/>
      <c r="J633" s="491">
        <f t="shared" si="163"/>
        <v>12</v>
      </c>
      <c r="K633" s="501"/>
      <c r="L633" s="501">
        <f t="shared" si="165"/>
        <v>12</v>
      </c>
      <c r="M633" s="493"/>
      <c r="N633" s="507"/>
      <c r="O633" s="449"/>
    </row>
    <row r="634" spans="2:15" ht="14.25" hidden="1" customHeight="1" outlineLevel="1">
      <c r="B634" s="523" t="s">
        <v>1395</v>
      </c>
      <c r="C634" s="15" t="str">
        <f>IFERROR(VLOOKUP(B634,MasterSheet!$B$6:$N$521,3,),"n/a")</f>
        <v>BB.Q PAPER BAG FRIES (TakeAway)</v>
      </c>
      <c r="D634" s="510">
        <v>1</v>
      </c>
      <c r="E634" s="505" t="str">
        <f>IFERROR(VLOOKUP(B634,[4]MasterSheet!$B$6:$N$515,10,),"N/a")</f>
        <v>ea</v>
      </c>
      <c r="F634" s="506">
        <f>IFERROR(VLOOKUP(B634,MasterSheet!$B$6:$N$521,11,),"N/a")</f>
        <v>737</v>
      </c>
      <c r="G634" s="488">
        <f t="shared" si="162"/>
        <v>737</v>
      </c>
      <c r="H634" s="905"/>
      <c r="I634" s="905"/>
      <c r="J634" s="491"/>
      <c r="K634" s="501">
        <f t="shared" si="164"/>
        <v>5</v>
      </c>
      <c r="L634" s="501">
        <f t="shared" si="165"/>
        <v>5</v>
      </c>
      <c r="M634" s="493"/>
      <c r="N634" s="507"/>
      <c r="O634" s="449"/>
    </row>
    <row r="635" spans="2:15" ht="14.65" hidden="1" customHeight="1" outlineLevel="1" thickBot="1">
      <c r="B635" s="524" t="s">
        <v>1150</v>
      </c>
      <c r="C635" s="512" t="str">
        <f>IFERROR(VLOOKUP(B635,MasterSheet!$B$6:$N$421,3,),"n/a")</f>
        <v>PARCHMENT PAPER / WRAPPING RICE</v>
      </c>
      <c r="D635" s="513">
        <v>1</v>
      </c>
      <c r="E635" s="514" t="str">
        <f>IFERROR(VLOOKUP(B635,[4]MasterSheet!B413:N1004,10,),"N/a")</f>
        <v>N/a</v>
      </c>
      <c r="F635" s="515">
        <f>IFERROR(VLOOKUP(B635,MasterSheet!$B$6:$N$421,11,),"N/a")</f>
        <v>216.45</v>
      </c>
      <c r="G635" s="516">
        <f t="shared" si="162"/>
        <v>216.45</v>
      </c>
      <c r="H635" s="916"/>
      <c r="I635" s="916"/>
      <c r="J635" s="517">
        <f>D635*$J$618</f>
        <v>12</v>
      </c>
      <c r="K635" s="518">
        <f>D635*$K$618</f>
        <v>5</v>
      </c>
      <c r="L635" s="518">
        <f t="shared" si="165"/>
        <v>17</v>
      </c>
      <c r="M635" s="519"/>
      <c r="N635" s="520"/>
      <c r="O635" s="449"/>
    </row>
    <row r="636" spans="2:15" collapsed="1">
      <c r="B636" s="219" t="s">
        <v>1467</v>
      </c>
      <c r="C636" s="15" t="s">
        <v>1463</v>
      </c>
      <c r="D636" s="184">
        <f>E636*(1+$E$8)</f>
        <v>66000</v>
      </c>
      <c r="E636" s="184">
        <v>60000</v>
      </c>
      <c r="F636" s="174">
        <f>H639</f>
        <v>22485.504769219973</v>
      </c>
      <c r="G636" s="489">
        <f>I639</f>
        <v>23525.504769219973</v>
      </c>
      <c r="H636" s="500">
        <f>F636/E636</f>
        <v>0.3747584128203329</v>
      </c>
      <c r="I636" s="500">
        <f>G636/E636</f>
        <v>0.39209174615366621</v>
      </c>
      <c r="J636" s="501">
        <f>VLOOKUP(B636,'SALES MIX'!B14:J104,4)</f>
        <v>12</v>
      </c>
      <c r="K636" s="501">
        <f>VLOOKUP(B636,'SALES MIX'!B14:J104,5)</f>
        <v>5</v>
      </c>
      <c r="L636" s="221">
        <f>((F636*J636)+(G636*K636))/((J636+K636)*E636)</f>
        <v>0.37985645203601914</v>
      </c>
      <c r="M636" s="493"/>
      <c r="N636" s="493"/>
      <c r="O636" s="449"/>
    </row>
    <row r="637" spans="2:15" ht="14.65" hidden="1" customHeight="1" outlineLevel="1" thickTop="1">
      <c r="B637" s="913" t="s">
        <v>608</v>
      </c>
      <c r="C637" s="914" t="s">
        <v>1305</v>
      </c>
      <c r="D637" s="915" t="s">
        <v>1306</v>
      </c>
      <c r="E637" s="915" t="s">
        <v>60</v>
      </c>
      <c r="F637" s="915" t="s">
        <v>615</v>
      </c>
      <c r="G637" s="915" t="s">
        <v>755</v>
      </c>
      <c r="H637" s="907" t="s">
        <v>1312</v>
      </c>
      <c r="I637" s="907"/>
      <c r="J637" s="907" t="s">
        <v>1319</v>
      </c>
      <c r="K637" s="907"/>
      <c r="L637" s="908" t="s">
        <v>1313</v>
      </c>
      <c r="M637" s="907" t="s">
        <v>912</v>
      </c>
      <c r="N637" s="917"/>
      <c r="O637" s="449"/>
    </row>
    <row r="638" spans="2:15" ht="14.65" hidden="1" customHeight="1" outlineLevel="1" thickBot="1">
      <c r="B638" s="894"/>
      <c r="C638" s="896"/>
      <c r="D638" s="898"/>
      <c r="E638" s="898"/>
      <c r="F638" s="898"/>
      <c r="G638" s="898"/>
      <c r="H638" s="502" t="s">
        <v>1309</v>
      </c>
      <c r="I638" s="502" t="s">
        <v>1308</v>
      </c>
      <c r="J638" s="502" t="s">
        <v>1309</v>
      </c>
      <c r="K638" s="502" t="s">
        <v>1308</v>
      </c>
      <c r="L638" s="901"/>
      <c r="M638" s="903"/>
      <c r="N638" s="904"/>
      <c r="O638" s="449"/>
    </row>
    <row r="639" spans="2:15" ht="14.25" hidden="1" customHeight="1" outlineLevel="1">
      <c r="B639" s="504" t="s">
        <v>631</v>
      </c>
      <c r="C639" s="15" t="str">
        <f>IFERROR(VLOOKUP(B639,MasterSheet!$B$6:$N$150,3,),"n/a")</f>
        <v>Injected Whole Chicken (1.25kg)</v>
      </c>
      <c r="D639" s="499">
        <f>1250/9*2</f>
        <v>277.77777777777777</v>
      </c>
      <c r="E639" s="505" t="str">
        <f>IFERROR(VLOOKUP(B639,[4]MasterSheet!$B$6:$N$144,10,),"N/a")</f>
        <v>g</v>
      </c>
      <c r="F639" s="506">
        <f>IFERROR(VLOOKUP(B639,MasterSheet!$B$6:$N$150,11,),"N/a")</f>
        <v>34.314223999999996</v>
      </c>
      <c r="G639" s="488">
        <f>IFERROR(D639*F639,"_")</f>
        <v>9531.728888888887</v>
      </c>
      <c r="H639" s="905">
        <f>SUM(G639:G647,G649,G653,G651)</f>
        <v>22485.504769219973</v>
      </c>
      <c r="I639" s="905">
        <f>SUM(G639:G646,G648,G649,G653,G650,G652)</f>
        <v>23525.504769219973</v>
      </c>
      <c r="J639" s="491">
        <f>D639*$J$636</f>
        <v>3333.333333333333</v>
      </c>
      <c r="K639" s="501">
        <f>D639*$K$636</f>
        <v>1388.8888888888889</v>
      </c>
      <c r="L639" s="501">
        <f>SUM(J639:K639)</f>
        <v>4722.2222222222217</v>
      </c>
      <c r="M639" s="493"/>
      <c r="N639" s="507"/>
      <c r="O639" s="449"/>
    </row>
    <row r="640" spans="2:15" ht="14.25" hidden="1" customHeight="1" outlineLevel="1">
      <c r="B640" s="508" t="s">
        <v>742</v>
      </c>
      <c r="C640" s="15" t="str">
        <f>IFERROR(VLOOKUP(B640,MasterSheet!$B$6:$N$150,3,),"n/a")</f>
        <v>Garlic Flavour Soy Sauce</v>
      </c>
      <c r="D640" s="499">
        <f>D639*11%</f>
        <v>30.555555555555554</v>
      </c>
      <c r="E640" s="505" t="str">
        <f>IFERROR(VLOOKUP(B640,[4]MasterSheet!$B$6:$N$144,10,),"N/a")</f>
        <v>g</v>
      </c>
      <c r="F640" s="506">
        <f>IFERROR(VLOOKUP(B640,MasterSheet!$B$6:$N$150,11,),"N/a")</f>
        <v>112.734375</v>
      </c>
      <c r="G640" s="488">
        <f t="shared" ref="G640:G653" si="166">IFERROR(D640*F640,"_")</f>
        <v>3444.661458333333</v>
      </c>
      <c r="H640" s="905"/>
      <c r="I640" s="905"/>
      <c r="J640" s="491">
        <f t="shared" ref="J640:J651" si="167">D640*$J$636</f>
        <v>366.66666666666663</v>
      </c>
      <c r="K640" s="501">
        <f t="shared" ref="K640:K652" si="168">D640*$K$636</f>
        <v>152.77777777777777</v>
      </c>
      <c r="L640" s="501">
        <f t="shared" ref="L640:L653" si="169">SUM(J640:K640)</f>
        <v>519.44444444444434</v>
      </c>
      <c r="M640" s="493"/>
      <c r="N640" s="507"/>
      <c r="O640" s="449"/>
    </row>
    <row r="641" spans="2:15" ht="14.25" hidden="1" customHeight="1" outlineLevel="1">
      <c r="B641" s="508" t="s">
        <v>999</v>
      </c>
      <c r="C641" s="15" t="str">
        <f>IFERROR(VLOOKUP(B641,MasterSheet!$B$6:$N$150,3,),"n/a")</f>
        <v>Palm Oil</v>
      </c>
      <c r="D641" s="499">
        <f>D639*0.1</f>
        <v>27.777777777777779</v>
      </c>
      <c r="E641" s="505" t="str">
        <f>IFERROR(VLOOKUP(B641,[4]MasterSheet!$B$6:$N$144,10,),"N/a")</f>
        <v>g</v>
      </c>
      <c r="F641" s="506">
        <f>IFERROR(VLOOKUP(B641,MasterSheet!$B$6:$N$150,11,),"N/a")</f>
        <v>25.580404040404041</v>
      </c>
      <c r="G641" s="488">
        <f t="shared" si="166"/>
        <v>710.56677890011224</v>
      </c>
      <c r="H641" s="905"/>
      <c r="I641" s="905"/>
      <c r="J641" s="491">
        <f t="shared" si="167"/>
        <v>333.33333333333337</v>
      </c>
      <c r="K641" s="501">
        <f t="shared" si="168"/>
        <v>138.88888888888889</v>
      </c>
      <c r="L641" s="501">
        <f t="shared" si="169"/>
        <v>472.22222222222229</v>
      </c>
      <c r="M641" s="493"/>
      <c r="N641" s="507"/>
      <c r="O641" s="449"/>
    </row>
    <row r="642" spans="2:15" ht="14.25" hidden="1" customHeight="1" outlineLevel="1">
      <c r="B642" s="508" t="s">
        <v>1004</v>
      </c>
      <c r="C642" s="15" t="str">
        <f>IFERROR(VLOOKUP(B642,MasterSheet!$B$6:$N$150,3,),"n/a")</f>
        <v>Garlic Chip</v>
      </c>
      <c r="D642" s="499">
        <v>2</v>
      </c>
      <c r="E642" s="505" t="str">
        <f>IFERROR(VLOOKUP(B642,[4]MasterSheet!$B$6:$N$144,10,),"N/a")</f>
        <v>g</v>
      </c>
      <c r="F642" s="506">
        <f>IFERROR(VLOOKUP(B642,MasterSheet!$B$6:$N$150,11,),"N/a")</f>
        <v>90.808080808080817</v>
      </c>
      <c r="G642" s="488">
        <f t="shared" si="166"/>
        <v>181.61616161616163</v>
      </c>
      <c r="H642" s="905"/>
      <c r="I642" s="905"/>
      <c r="J642" s="491">
        <f t="shared" si="167"/>
        <v>24</v>
      </c>
      <c r="K642" s="501">
        <f t="shared" si="168"/>
        <v>10</v>
      </c>
      <c r="L642" s="501">
        <f t="shared" si="169"/>
        <v>34</v>
      </c>
      <c r="M642" s="493"/>
      <c r="N642" s="507"/>
      <c r="O642" s="449"/>
    </row>
    <row r="643" spans="2:15" ht="14.25" hidden="1" customHeight="1" outlineLevel="1">
      <c r="B643" s="508" t="s">
        <v>785</v>
      </c>
      <c r="C643" s="15" t="str">
        <f>IFERROR(VLOOKUP(B643,MasterSheet!$B$6:$N$150,3,),"n/a")</f>
        <v xml:space="preserve">Black Tea (w/water) </v>
      </c>
      <c r="D643" s="499">
        <v>250</v>
      </c>
      <c r="E643" s="505" t="str">
        <f>IFERROR(VLOOKUP(B643,[4]MasterSheet!$B$6:$N$144,10,),"N/a")</f>
        <v>g</v>
      </c>
      <c r="F643" s="506">
        <f>IFERROR(VLOOKUP(B643,MasterSheet!$B$6:$N$150,11,),"N/a")</f>
        <v>1.6818181818181819</v>
      </c>
      <c r="G643" s="488">
        <f t="shared" si="166"/>
        <v>420.4545454545455</v>
      </c>
      <c r="H643" s="905"/>
      <c r="I643" s="905"/>
      <c r="J643" s="491">
        <f t="shared" si="167"/>
        <v>3000</v>
      </c>
      <c r="K643" s="501">
        <f t="shared" si="168"/>
        <v>1250</v>
      </c>
      <c r="L643" s="501">
        <f t="shared" si="169"/>
        <v>4250</v>
      </c>
      <c r="M643" s="493"/>
      <c r="N643" s="507"/>
      <c r="O643" s="449"/>
    </row>
    <row r="644" spans="2:15" ht="14.25" hidden="1" customHeight="1" outlineLevel="1">
      <c r="B644" s="508" t="s">
        <v>1029</v>
      </c>
      <c r="C644" s="15" t="str">
        <f>IFERROR(VLOOKUP(B644,MasterSheet!$B$6:$N$150,3,),"n/a")</f>
        <v>GIMBORI (Crispy Seaweed)</v>
      </c>
      <c r="D644" s="499">
        <v>1</v>
      </c>
      <c r="E644" s="505" t="str">
        <f>IFERROR(VLOOKUP(B644,[4]MasterSheet!$B$6:$N$144,10,),"N/a")</f>
        <v>g</v>
      </c>
      <c r="F644" s="506">
        <f>IFERROR(VLOOKUP(B644,MasterSheet!$B$6:$N$150,11,),"N/a")</f>
        <v>390.90909090909093</v>
      </c>
      <c r="G644" s="488">
        <f t="shared" si="166"/>
        <v>390.90909090909093</v>
      </c>
      <c r="H644" s="905"/>
      <c r="I644" s="905"/>
      <c r="J644" s="491">
        <f t="shared" si="167"/>
        <v>12</v>
      </c>
      <c r="K644" s="501">
        <f t="shared" si="168"/>
        <v>5</v>
      </c>
      <c r="L644" s="501">
        <f t="shared" si="169"/>
        <v>17</v>
      </c>
      <c r="M644" s="493"/>
      <c r="N644" s="507"/>
      <c r="O644" s="449"/>
    </row>
    <row r="645" spans="2:15" ht="14.25" hidden="1" customHeight="1" outlineLevel="1">
      <c r="B645" s="509" t="s">
        <v>568</v>
      </c>
      <c r="C645" s="15" t="str">
        <f>VLOOKUP(B645,CK!$B$8:$L$87,4,)</f>
        <v>Battering Powder Mix C Solution(Yellow)</v>
      </c>
      <c r="D645" s="510">
        <f>D639*0.21</f>
        <v>58.333333333333329</v>
      </c>
      <c r="E645" s="505" t="str">
        <f>VLOOKUP(B645,[4]CK!$B$8:$L$87,9,)</f>
        <v>g</v>
      </c>
      <c r="F645" s="506">
        <f>VLOOKUP(B645,CK!$B$8:$L$87,10,)</f>
        <v>23.80952380952381</v>
      </c>
      <c r="G645" s="488">
        <f t="shared" si="166"/>
        <v>1388.8888888888889</v>
      </c>
      <c r="H645" s="905"/>
      <c r="I645" s="905"/>
      <c r="J645" s="491">
        <f t="shared" si="167"/>
        <v>700</v>
      </c>
      <c r="K645" s="501">
        <f t="shared" si="168"/>
        <v>291.66666666666663</v>
      </c>
      <c r="L645" s="501">
        <f t="shared" si="169"/>
        <v>991.66666666666663</v>
      </c>
      <c r="M645" s="493"/>
      <c r="N645" s="507"/>
      <c r="O645" s="449"/>
    </row>
    <row r="646" spans="2:15" ht="14.25" hidden="1" customHeight="1" outlineLevel="1">
      <c r="B646" s="509" t="s">
        <v>1117</v>
      </c>
      <c r="C646" s="15" t="str">
        <f>VLOOKUP(B646,CK!$B$8:$L$87,4,)</f>
        <v>French Fries</v>
      </c>
      <c r="D646" s="510">
        <v>100</v>
      </c>
      <c r="E646" s="505" t="str">
        <f>VLOOKUP(B646,[4]CK!$B$8:$L$87,9,)</f>
        <v>g</v>
      </c>
      <c r="F646" s="506">
        <f>VLOOKUP(B646,CK!$B$8:$L$87,10,)</f>
        <v>43.15228956228956</v>
      </c>
      <c r="G646" s="488">
        <f t="shared" si="166"/>
        <v>4315.2289562289561</v>
      </c>
      <c r="H646" s="905"/>
      <c r="I646" s="905"/>
      <c r="J646" s="491">
        <f t="shared" si="167"/>
        <v>1200</v>
      </c>
      <c r="K646" s="501">
        <f t="shared" si="168"/>
        <v>500</v>
      </c>
      <c r="L646" s="501">
        <f t="shared" si="169"/>
        <v>1700</v>
      </c>
      <c r="M646" s="493"/>
      <c r="N646" s="507"/>
      <c r="O646" s="449"/>
    </row>
    <row r="647" spans="2:15" ht="14.25" hidden="1" customHeight="1" outlineLevel="1">
      <c r="B647" s="523" t="s">
        <v>1341</v>
      </c>
      <c r="C647" s="15" t="str">
        <f>IFERROR(VLOOKUP(B647,MasterSheet!$B$6:$N$521,3,),"n/a")</f>
        <v>BB.Q Papertray</v>
      </c>
      <c r="D647" s="510">
        <v>1</v>
      </c>
      <c r="E647" s="505" t="str">
        <f>IFERROR(VLOOKUP(B647,[4]MasterSheet!$B$6:$N$515,10,),"N/a")</f>
        <v>ea</v>
      </c>
      <c r="F647" s="506">
        <f>IFERROR(VLOOKUP(B647,MasterSheet!$B$6:$N$521,11,),"N/a")</f>
        <v>600</v>
      </c>
      <c r="G647" s="488">
        <f t="shared" si="166"/>
        <v>600</v>
      </c>
      <c r="H647" s="905"/>
      <c r="I647" s="905"/>
      <c r="J647" s="491">
        <f t="shared" si="167"/>
        <v>12</v>
      </c>
      <c r="K647" s="501"/>
      <c r="L647" s="501">
        <f t="shared" si="169"/>
        <v>12</v>
      </c>
      <c r="M647" s="493"/>
      <c r="N647" s="507"/>
      <c r="O647" s="449"/>
    </row>
    <row r="648" spans="2:15" ht="14.25" hidden="1" customHeight="1" outlineLevel="1">
      <c r="B648" s="523" t="s">
        <v>1337</v>
      </c>
      <c r="C648" s="15" t="str">
        <f>IFERROR(VLOOKUP(B648,MasterSheet!$B$6:$N$521,3,),"n/a")</f>
        <v>BB.Q FOODPAIL L</v>
      </c>
      <c r="D648" s="510">
        <v>1</v>
      </c>
      <c r="E648" s="505" t="str">
        <f>IFERROR(VLOOKUP(B648,[4]MasterSheet!$B$6:$N$515,10,),"N/a")</f>
        <v>ea</v>
      </c>
      <c r="F648" s="506">
        <f>IFERROR(VLOOKUP(B648,MasterSheet!$B$6:$N$521,11,),"N/a")</f>
        <v>1238</v>
      </c>
      <c r="G648" s="488">
        <f t="shared" si="166"/>
        <v>1238</v>
      </c>
      <c r="H648" s="905"/>
      <c r="I648" s="905"/>
      <c r="J648" s="491"/>
      <c r="K648" s="501">
        <f t="shared" si="168"/>
        <v>5</v>
      </c>
      <c r="L648" s="501">
        <f t="shared" si="169"/>
        <v>5</v>
      </c>
      <c r="M648" s="493"/>
      <c r="N648" s="507"/>
      <c r="O648" s="449"/>
    </row>
    <row r="649" spans="2:15" ht="14.25" hidden="1" customHeight="1" outlineLevel="1">
      <c r="B649" s="523" t="s">
        <v>1365</v>
      </c>
      <c r="C649" s="15" t="str">
        <f>IFERROR(VLOOKUP(B649,MasterSheet!$B$6:$N$521,3,),"n/a")</f>
        <v>Drink Package(16oz)</v>
      </c>
      <c r="D649" s="510">
        <v>1</v>
      </c>
      <c r="E649" s="505" t="str">
        <f>IFERROR(VLOOKUP(B649,[4]MasterSheet!$B$6:$N$515,10,),"N/a")</f>
        <v>ea</v>
      </c>
      <c r="F649" s="506">
        <f>IFERROR(VLOOKUP(B649,MasterSheet!$B$6:$N$521,11,),"N/a")</f>
        <v>750</v>
      </c>
      <c r="G649" s="488">
        <f t="shared" si="166"/>
        <v>750</v>
      </c>
      <c r="H649" s="905"/>
      <c r="I649" s="905"/>
      <c r="J649" s="491">
        <f t="shared" si="167"/>
        <v>12</v>
      </c>
      <c r="K649" s="501">
        <f t="shared" si="168"/>
        <v>5</v>
      </c>
      <c r="L649" s="501">
        <f t="shared" si="169"/>
        <v>17</v>
      </c>
      <c r="M649" s="493"/>
      <c r="N649" s="507"/>
      <c r="O649" s="449"/>
    </row>
    <row r="650" spans="2:15" ht="14.25" hidden="1" customHeight="1" outlineLevel="1">
      <c r="B650" s="523" t="s">
        <v>1384</v>
      </c>
      <c r="C650" s="15" t="str">
        <f>IFERROR(VLOOKUP(B650,MasterSheet!$B$6:$N$521,3,),"n/a")</f>
        <v>DRINK PACKAGE LID(16OZ)</v>
      </c>
      <c r="D650" s="510">
        <v>1</v>
      </c>
      <c r="E650" s="505" t="str">
        <f>IFERROR(VLOOKUP(B650,[4]MasterSheet!$B$6:$N$515,10,),"N/a")</f>
        <v>ea</v>
      </c>
      <c r="F650" s="506">
        <f>IFERROR(VLOOKUP(B650,MasterSheet!$B$6:$N$521,11,),"N/a")</f>
        <v>200</v>
      </c>
      <c r="G650" s="488">
        <f t="shared" si="166"/>
        <v>200</v>
      </c>
      <c r="H650" s="905"/>
      <c r="I650" s="905"/>
      <c r="J650" s="491"/>
      <c r="K650" s="501">
        <f t="shared" si="168"/>
        <v>5</v>
      </c>
      <c r="L650" s="501">
        <f t="shared" si="169"/>
        <v>5</v>
      </c>
      <c r="M650" s="493"/>
      <c r="N650" s="507"/>
      <c r="O650" s="449"/>
    </row>
    <row r="651" spans="2:15" ht="14.25" hidden="1" customHeight="1" outlineLevel="1">
      <c r="B651" s="523" t="s">
        <v>1162</v>
      </c>
      <c r="C651" s="15" t="str">
        <f>IFERROR(VLOOKUP(B651,MasterSheet!$B$6:$N$521,3,),"n/a")</f>
        <v xml:space="preserve">BB.Q POTATO FRIES BOX (Dine-in) </v>
      </c>
      <c r="D651" s="510">
        <v>1</v>
      </c>
      <c r="E651" s="505" t="str">
        <f>IFERROR(VLOOKUP(B651,[4]MasterSheet!$B$6:$N$515,10,),"N/a")</f>
        <v>ea</v>
      </c>
      <c r="F651" s="506">
        <f>IFERROR(VLOOKUP(B651,MasterSheet!$B$6:$N$521,11,),"N/a")</f>
        <v>535</v>
      </c>
      <c r="G651" s="488">
        <f t="shared" si="166"/>
        <v>535</v>
      </c>
      <c r="H651" s="905"/>
      <c r="I651" s="905"/>
      <c r="J651" s="491">
        <f t="shared" si="167"/>
        <v>12</v>
      </c>
      <c r="K651" s="501"/>
      <c r="L651" s="501">
        <f t="shared" si="169"/>
        <v>12</v>
      </c>
      <c r="M651" s="493"/>
      <c r="N651" s="507"/>
      <c r="O651" s="449"/>
    </row>
    <row r="652" spans="2:15" ht="14.25" hidden="1" customHeight="1" outlineLevel="1">
      <c r="B652" s="523" t="s">
        <v>1395</v>
      </c>
      <c r="C652" s="15" t="str">
        <f>IFERROR(VLOOKUP(B652,MasterSheet!$B$6:$N$521,3,),"n/a")</f>
        <v>BB.Q PAPER BAG FRIES (TakeAway)</v>
      </c>
      <c r="D652" s="510">
        <v>1</v>
      </c>
      <c r="E652" s="505" t="str">
        <f>IFERROR(VLOOKUP(B652,[4]MasterSheet!$B$6:$N$515,10,),"N/a")</f>
        <v>ea</v>
      </c>
      <c r="F652" s="506">
        <f>IFERROR(VLOOKUP(B652,MasterSheet!$B$6:$N$521,11,),"N/a")</f>
        <v>737</v>
      </c>
      <c r="G652" s="488">
        <f t="shared" si="166"/>
        <v>737</v>
      </c>
      <c r="H652" s="905"/>
      <c r="I652" s="905"/>
      <c r="J652" s="491"/>
      <c r="K652" s="501">
        <f t="shared" si="168"/>
        <v>5</v>
      </c>
      <c r="L652" s="501">
        <f t="shared" si="169"/>
        <v>5</v>
      </c>
      <c r="M652" s="493"/>
      <c r="N652" s="507"/>
      <c r="O652" s="449"/>
    </row>
    <row r="653" spans="2:15" ht="14.65" hidden="1" customHeight="1" outlineLevel="1" thickBot="1">
      <c r="B653" s="524" t="s">
        <v>1150</v>
      </c>
      <c r="C653" s="512" t="str">
        <f>IFERROR(VLOOKUP(B653,MasterSheet!$B$6:$N$421,3,),"n/a")</f>
        <v>PARCHMENT PAPER / WRAPPING RICE</v>
      </c>
      <c r="D653" s="513">
        <v>1</v>
      </c>
      <c r="E653" s="514" t="str">
        <f>IFERROR(VLOOKUP(B653,[4]MasterSheet!B431:N1022,10,),"N/a")</f>
        <v>N/a</v>
      </c>
      <c r="F653" s="515">
        <f>IFERROR(VLOOKUP(B653,MasterSheet!$B$6:$N$421,11,),"N/a")</f>
        <v>216.45</v>
      </c>
      <c r="G653" s="516">
        <f t="shared" si="166"/>
        <v>216.45</v>
      </c>
      <c r="H653" s="916"/>
      <c r="I653" s="916"/>
      <c r="J653" s="517">
        <f>D653*$J$636</f>
        <v>12</v>
      </c>
      <c r="K653" s="518">
        <f>D653*$K$636</f>
        <v>5</v>
      </c>
      <c r="L653" s="518">
        <f t="shared" si="169"/>
        <v>17</v>
      </c>
      <c r="M653" s="519"/>
      <c r="N653" s="520"/>
      <c r="O653" s="449"/>
    </row>
    <row r="654" spans="2:15" collapsed="1">
      <c r="B654" s="219" t="s">
        <v>1470</v>
      </c>
      <c r="C654" s="15" t="s">
        <v>1469</v>
      </c>
      <c r="D654" s="184">
        <f>E654*(1+$E$8)</f>
        <v>66000</v>
      </c>
      <c r="E654" s="184">
        <v>60000</v>
      </c>
      <c r="F654" s="174">
        <f>H657</f>
        <v>22633.785004411806</v>
      </c>
      <c r="G654" s="489">
        <f>I657</f>
        <v>23639.785004411806</v>
      </c>
      <c r="H654" s="500">
        <f>F654/E654</f>
        <v>0.3772297500735301</v>
      </c>
      <c r="I654" s="500">
        <f>G654/E654</f>
        <v>0.39399641674019675</v>
      </c>
      <c r="J654" s="501">
        <f>VLOOKUP(B654,'SALES MIX'!B14:J104,4)</f>
        <v>0</v>
      </c>
      <c r="K654" s="501">
        <f>VLOOKUP(B654,'SALES MIX'!B14:J104,5)</f>
        <v>0</v>
      </c>
      <c r="L654" s="221" t="e">
        <f>((F654*J654)+(G654*K654))/((J654+K654)*E654)</f>
        <v>#DIV/0!</v>
      </c>
      <c r="M654" s="493"/>
      <c r="N654" s="493"/>
      <c r="O654" s="449"/>
    </row>
    <row r="655" spans="2:15" ht="14.65" hidden="1" customHeight="1" outlineLevel="1" thickTop="1">
      <c r="B655" s="913" t="s">
        <v>608</v>
      </c>
      <c r="C655" s="914" t="s">
        <v>1305</v>
      </c>
      <c r="D655" s="915" t="s">
        <v>1306</v>
      </c>
      <c r="E655" s="915" t="s">
        <v>60</v>
      </c>
      <c r="F655" s="915" t="s">
        <v>615</v>
      </c>
      <c r="G655" s="915" t="s">
        <v>755</v>
      </c>
      <c r="H655" s="907" t="s">
        <v>1312</v>
      </c>
      <c r="I655" s="907"/>
      <c r="J655" s="907" t="s">
        <v>1319</v>
      </c>
      <c r="K655" s="907"/>
      <c r="L655" s="908" t="s">
        <v>1313</v>
      </c>
      <c r="M655" s="907" t="s">
        <v>912</v>
      </c>
      <c r="N655" s="917"/>
      <c r="O655" s="449"/>
    </row>
    <row r="656" spans="2:15" ht="14.65" hidden="1" customHeight="1" outlineLevel="1" thickBot="1">
      <c r="B656" s="894"/>
      <c r="C656" s="896"/>
      <c r="D656" s="898"/>
      <c r="E656" s="898"/>
      <c r="F656" s="898"/>
      <c r="G656" s="898"/>
      <c r="H656" s="502" t="s">
        <v>1309</v>
      </c>
      <c r="I656" s="502" t="s">
        <v>1308</v>
      </c>
      <c r="J656" s="502" t="s">
        <v>1309</v>
      </c>
      <c r="K656" s="502" t="s">
        <v>1308</v>
      </c>
      <c r="L656" s="901"/>
      <c r="M656" s="903"/>
      <c r="N656" s="904"/>
      <c r="O656" s="449"/>
    </row>
    <row r="657" spans="2:15" ht="14.25" hidden="1" customHeight="1" outlineLevel="1">
      <c r="B657" s="504" t="s">
        <v>631</v>
      </c>
      <c r="C657" s="15" t="str">
        <f>IFERROR(VLOOKUP(B657,MasterSheet!$B$6:$N$150,3,),"n/a")</f>
        <v>Injected Whole Chicken (1.25kg)</v>
      </c>
      <c r="D657" s="499">
        <f>1250/9*2</f>
        <v>277.77777777777777</v>
      </c>
      <c r="E657" s="505" t="str">
        <f>IFERROR(VLOOKUP(B657,[4]MasterSheet!$B$6:$N$144,10,),"N/a")</f>
        <v>g</v>
      </c>
      <c r="F657" s="506">
        <f>IFERROR(VLOOKUP(B657,MasterSheet!$B$6:$N$150,11,),"N/a")</f>
        <v>34.314223999999996</v>
      </c>
      <c r="G657" s="488">
        <f>IFERROR(D657*F657,"_")</f>
        <v>9531.728888888887</v>
      </c>
      <c r="H657" s="905">
        <f>SUM(G657:G665,G667,G671,G669)</f>
        <v>22633.785004411806</v>
      </c>
      <c r="I657" s="905">
        <f>SUM(G657:G664,G666,G667,G671,G668,G670)</f>
        <v>23639.785004411806</v>
      </c>
      <c r="J657" s="491">
        <f>D657*$J$654</f>
        <v>0</v>
      </c>
      <c r="K657" s="501">
        <f>D657*$K$654</f>
        <v>0</v>
      </c>
      <c r="L657" s="501">
        <f>SUM(J657:K657)</f>
        <v>0</v>
      </c>
      <c r="M657" s="493"/>
      <c r="N657" s="507"/>
      <c r="O657" s="449"/>
    </row>
    <row r="658" spans="2:15" ht="14.25" hidden="1" customHeight="1" outlineLevel="1">
      <c r="B658" s="508" t="s">
        <v>758</v>
      </c>
      <c r="C658" s="15" t="str">
        <f>IFERROR(VLOOKUP(B658,MasterSheet!$B$6:$N$150,3,),"n/a")</f>
        <v>Honey pepper Sauce</v>
      </c>
      <c r="D658" s="499">
        <f>D657*11%</f>
        <v>30.555555555555554</v>
      </c>
      <c r="E658" s="505" t="str">
        <f>IFERROR(VLOOKUP(B658,[4]MasterSheet!$B$6:$N$144,10,),"N/a")</f>
        <v>g</v>
      </c>
      <c r="F658" s="506">
        <f>IFERROR(VLOOKUP(B658,MasterSheet!$B$6:$N$150,11,),"N/a")</f>
        <v>118.99739583333333</v>
      </c>
      <c r="G658" s="488">
        <f t="shared" ref="G658:G671" si="170">IFERROR(D658*F658,"_")</f>
        <v>3636.0315393518513</v>
      </c>
      <c r="H658" s="905"/>
      <c r="I658" s="905"/>
      <c r="J658" s="491">
        <f t="shared" ref="J658:J669" si="171">D658*$J$654</f>
        <v>0</v>
      </c>
      <c r="K658" s="501">
        <f t="shared" ref="K658:K670" si="172">D658*$K$654</f>
        <v>0</v>
      </c>
      <c r="L658" s="501">
        <f t="shared" ref="L658:L671" si="173">SUM(J658:K658)</f>
        <v>0</v>
      </c>
      <c r="M658" s="493"/>
      <c r="N658" s="507"/>
      <c r="O658" s="449"/>
    </row>
    <row r="659" spans="2:15" ht="14.25" hidden="1" customHeight="1" outlineLevel="1">
      <c r="B659" s="508" t="s">
        <v>999</v>
      </c>
      <c r="C659" s="15" t="str">
        <f>IFERROR(VLOOKUP(B659,MasterSheet!$B$6:$N$150,3,),"n/a")</f>
        <v>Palm Oil</v>
      </c>
      <c r="D659" s="499">
        <f>D657*0.1</f>
        <v>27.777777777777779</v>
      </c>
      <c r="E659" s="505" t="str">
        <f>IFERROR(VLOOKUP(B659,[4]MasterSheet!$B$6:$N$144,10,),"N/a")</f>
        <v>g</v>
      </c>
      <c r="F659" s="506">
        <f>IFERROR(VLOOKUP(B659,MasterSheet!$B$6:$N$150,11,),"N/a")</f>
        <v>25.580404040404041</v>
      </c>
      <c r="G659" s="488">
        <f t="shared" si="170"/>
        <v>710.56677890011224</v>
      </c>
      <c r="H659" s="905"/>
      <c r="I659" s="905"/>
      <c r="J659" s="491">
        <f t="shared" si="171"/>
        <v>0</v>
      </c>
      <c r="K659" s="501">
        <f t="shared" si="172"/>
        <v>0</v>
      </c>
      <c r="L659" s="501">
        <f t="shared" si="173"/>
        <v>0</v>
      </c>
      <c r="M659" s="493"/>
      <c r="N659" s="507"/>
      <c r="O659" s="449"/>
    </row>
    <row r="660" spans="2:15" ht="14.25" hidden="1" customHeight="1" outlineLevel="1">
      <c r="B660" s="508" t="s">
        <v>672</v>
      </c>
      <c r="C660" s="15" t="str">
        <f>IFERROR(VLOOKUP(B660,MasterSheet!$B$6:$N$150,3,),"n/a")</f>
        <v>Scallion(Green Onion)</v>
      </c>
      <c r="D660" s="499">
        <v>5</v>
      </c>
      <c r="E660" s="505" t="str">
        <f>IFERROR(VLOOKUP(B660,[4]MasterSheet!$B$6:$N$144,10,),"N/a")</f>
        <v>g</v>
      </c>
      <c r="F660" s="506">
        <f>IFERROR(VLOOKUP(B660,MasterSheet!$B$6:$N$150,11,),"N/a")</f>
        <v>27.705263157894738</v>
      </c>
      <c r="G660" s="488">
        <f t="shared" si="170"/>
        <v>138.5263157894737</v>
      </c>
      <c r="H660" s="905"/>
      <c r="I660" s="905"/>
      <c r="J660" s="491">
        <f t="shared" si="171"/>
        <v>0</v>
      </c>
      <c r="K660" s="501">
        <f t="shared" si="172"/>
        <v>0</v>
      </c>
      <c r="L660" s="501">
        <f t="shared" si="173"/>
        <v>0</v>
      </c>
      <c r="M660" s="493"/>
      <c r="N660" s="507"/>
      <c r="O660" s="449"/>
    </row>
    <row r="661" spans="2:15" ht="14.25" hidden="1" customHeight="1" outlineLevel="1">
      <c r="B661" s="508" t="s">
        <v>785</v>
      </c>
      <c r="C661" s="15" t="str">
        <f>IFERROR(VLOOKUP(B661,MasterSheet!$B$6:$N$150,3,),"n/a")</f>
        <v xml:space="preserve">Black Tea (w/water) </v>
      </c>
      <c r="D661" s="499">
        <v>250</v>
      </c>
      <c r="E661" s="505" t="str">
        <f>IFERROR(VLOOKUP(B661,[4]MasterSheet!$B$6:$N$144,10,),"N/a")</f>
        <v>g</v>
      </c>
      <c r="F661" s="506">
        <f>IFERROR(VLOOKUP(B661,MasterSheet!$B$6:$N$150,11,),"N/a")</f>
        <v>1.6818181818181819</v>
      </c>
      <c r="G661" s="488">
        <f t="shared" si="170"/>
        <v>420.4545454545455</v>
      </c>
      <c r="H661" s="905"/>
      <c r="I661" s="905"/>
      <c r="J661" s="491">
        <f t="shared" si="171"/>
        <v>0</v>
      </c>
      <c r="K661" s="501">
        <f t="shared" si="172"/>
        <v>0</v>
      </c>
      <c r="L661" s="501">
        <f t="shared" si="173"/>
        <v>0</v>
      </c>
      <c r="M661" s="493"/>
      <c r="N661" s="507"/>
      <c r="O661" s="449"/>
    </row>
    <row r="662" spans="2:15" ht="14.25" hidden="1" customHeight="1" outlineLevel="1">
      <c r="B662" s="508" t="s">
        <v>1029</v>
      </c>
      <c r="C662" s="15" t="str">
        <f>IFERROR(VLOOKUP(B662,MasterSheet!$B$6:$N$150,3,),"n/a")</f>
        <v>GIMBORI (Crispy Seaweed)</v>
      </c>
      <c r="D662" s="499">
        <v>1</v>
      </c>
      <c r="E662" s="505" t="str">
        <f>IFERROR(VLOOKUP(B662,[4]MasterSheet!$B$6:$N$144,10,),"N/a")</f>
        <v>g</v>
      </c>
      <c r="F662" s="506">
        <f>IFERROR(VLOOKUP(B662,MasterSheet!$B$6:$N$150,11,),"N/a")</f>
        <v>390.90909090909093</v>
      </c>
      <c r="G662" s="488">
        <f t="shared" si="170"/>
        <v>390.90909090909093</v>
      </c>
      <c r="H662" s="905"/>
      <c r="I662" s="905"/>
      <c r="J662" s="491">
        <f t="shared" si="171"/>
        <v>0</v>
      </c>
      <c r="K662" s="501">
        <f t="shared" si="172"/>
        <v>0</v>
      </c>
      <c r="L662" s="501">
        <f t="shared" si="173"/>
        <v>0</v>
      </c>
      <c r="M662" s="493"/>
      <c r="N662" s="507"/>
      <c r="O662" s="449"/>
    </row>
    <row r="663" spans="2:15" ht="14.25" hidden="1" customHeight="1" outlineLevel="1">
      <c r="B663" s="509" t="s">
        <v>568</v>
      </c>
      <c r="C663" s="15" t="str">
        <f>VLOOKUP(B663,CK!$B$8:$L$87,4,)</f>
        <v>Battering Powder Mix C Solution(Yellow)</v>
      </c>
      <c r="D663" s="510">
        <f>D657*0.21</f>
        <v>58.333333333333329</v>
      </c>
      <c r="E663" s="505" t="str">
        <f>VLOOKUP(B663,[4]CK!$B$8:$L$87,9,)</f>
        <v>g</v>
      </c>
      <c r="F663" s="506">
        <f>VLOOKUP(B663,CK!$B$8:$L$87,10,)</f>
        <v>23.80952380952381</v>
      </c>
      <c r="G663" s="488">
        <f t="shared" si="170"/>
        <v>1388.8888888888889</v>
      </c>
      <c r="H663" s="905"/>
      <c r="I663" s="905"/>
      <c r="J663" s="491">
        <f t="shared" si="171"/>
        <v>0</v>
      </c>
      <c r="K663" s="501">
        <f t="shared" si="172"/>
        <v>0</v>
      </c>
      <c r="L663" s="501">
        <f t="shared" si="173"/>
        <v>0</v>
      </c>
      <c r="M663" s="493"/>
      <c r="N663" s="507"/>
      <c r="O663" s="449"/>
    </row>
    <row r="664" spans="2:15" ht="14.25" hidden="1" customHeight="1" outlineLevel="1">
      <c r="B664" s="509" t="s">
        <v>1117</v>
      </c>
      <c r="C664" s="15" t="str">
        <f>VLOOKUP(B664,CK!$B$8:$L$87,4,)</f>
        <v>French Fries</v>
      </c>
      <c r="D664" s="510">
        <v>100</v>
      </c>
      <c r="E664" s="505" t="str">
        <f>VLOOKUP(B664,[4]CK!$B$8:$L$87,9,)</f>
        <v>g</v>
      </c>
      <c r="F664" s="506">
        <f>VLOOKUP(B664,CK!$B$8:$L$87,10,)</f>
        <v>43.15228956228956</v>
      </c>
      <c r="G664" s="488">
        <f t="shared" si="170"/>
        <v>4315.2289562289561</v>
      </c>
      <c r="H664" s="905"/>
      <c r="I664" s="905"/>
      <c r="J664" s="491">
        <f t="shared" si="171"/>
        <v>0</v>
      </c>
      <c r="K664" s="501">
        <f t="shared" si="172"/>
        <v>0</v>
      </c>
      <c r="L664" s="501">
        <f t="shared" si="173"/>
        <v>0</v>
      </c>
      <c r="M664" s="493"/>
      <c r="N664" s="507"/>
      <c r="O664" s="449"/>
    </row>
    <row r="665" spans="2:15" ht="14.25" hidden="1" customHeight="1" outlineLevel="1">
      <c r="B665" s="523" t="s">
        <v>1341</v>
      </c>
      <c r="C665" s="15" t="str">
        <f>IFERROR(VLOOKUP(B665,MasterSheet!$B$6:$N$521,3,),"n/a")</f>
        <v>BB.Q Papertray</v>
      </c>
      <c r="D665" s="510">
        <v>1</v>
      </c>
      <c r="E665" s="505" t="str">
        <f>IFERROR(VLOOKUP(B665,[4]MasterSheet!$B$6:$N$515,10,),"N/a")</f>
        <v>ea</v>
      </c>
      <c r="F665" s="506">
        <f>IFERROR(VLOOKUP(B665,MasterSheet!$B$6:$N$521,11,),"N/a")</f>
        <v>600</v>
      </c>
      <c r="G665" s="488">
        <f t="shared" si="170"/>
        <v>600</v>
      </c>
      <c r="H665" s="905"/>
      <c r="I665" s="905"/>
      <c r="J665" s="491">
        <f t="shared" si="171"/>
        <v>0</v>
      </c>
      <c r="K665" s="501"/>
      <c r="L665" s="501">
        <f t="shared" si="173"/>
        <v>0</v>
      </c>
      <c r="M665" s="493"/>
      <c r="N665" s="507"/>
      <c r="O665" s="449"/>
    </row>
    <row r="666" spans="2:15" ht="14.25" hidden="1" customHeight="1" outlineLevel="1">
      <c r="B666" s="523" t="s">
        <v>1335</v>
      </c>
      <c r="C666" s="15" t="str">
        <f>IFERROR(VLOOKUP(B666,MasterSheet!$B$6:$N$521,3,),"n/a")</f>
        <v xml:space="preserve">BB.Q FOODPAIL M </v>
      </c>
      <c r="D666" s="510">
        <v>1</v>
      </c>
      <c r="E666" s="505" t="str">
        <f>IFERROR(VLOOKUP(B666,[4]MasterSheet!$B$6:$N$515,10,),"N/a")</f>
        <v>ea</v>
      </c>
      <c r="F666" s="506">
        <f>IFERROR(VLOOKUP(B666,MasterSheet!$B$6:$N$521,11,),"N/a")</f>
        <v>1204</v>
      </c>
      <c r="G666" s="488">
        <f t="shared" si="170"/>
        <v>1204</v>
      </c>
      <c r="H666" s="905"/>
      <c r="I666" s="905"/>
      <c r="J666" s="491"/>
      <c r="K666" s="501">
        <f t="shared" si="172"/>
        <v>0</v>
      </c>
      <c r="L666" s="501">
        <f t="shared" si="173"/>
        <v>0</v>
      </c>
      <c r="M666" s="493"/>
      <c r="N666" s="507"/>
      <c r="O666" s="449"/>
    </row>
    <row r="667" spans="2:15" ht="14.25" hidden="1" customHeight="1" outlineLevel="1">
      <c r="B667" s="523" t="s">
        <v>1365</v>
      </c>
      <c r="C667" s="15" t="str">
        <f>IFERROR(VLOOKUP(B667,MasterSheet!$B$6:$N$521,3,),"n/a")</f>
        <v>Drink Package(16oz)</v>
      </c>
      <c r="D667" s="510">
        <v>1</v>
      </c>
      <c r="E667" s="505" t="str">
        <f>IFERROR(VLOOKUP(B667,[4]MasterSheet!$B$6:$N$515,10,),"N/a")</f>
        <v>ea</v>
      </c>
      <c r="F667" s="506">
        <f>IFERROR(VLOOKUP(B667,MasterSheet!$B$6:$N$521,11,),"N/a")</f>
        <v>750</v>
      </c>
      <c r="G667" s="488">
        <f t="shared" si="170"/>
        <v>750</v>
      </c>
      <c r="H667" s="905"/>
      <c r="I667" s="905"/>
      <c r="J667" s="491">
        <f t="shared" si="171"/>
        <v>0</v>
      </c>
      <c r="K667" s="501">
        <f t="shared" si="172"/>
        <v>0</v>
      </c>
      <c r="L667" s="501">
        <f t="shared" si="173"/>
        <v>0</v>
      </c>
      <c r="M667" s="493"/>
      <c r="N667" s="507"/>
      <c r="O667" s="449"/>
    </row>
    <row r="668" spans="2:15" ht="14.25" hidden="1" customHeight="1" outlineLevel="1">
      <c r="B668" s="523" t="s">
        <v>1384</v>
      </c>
      <c r="C668" s="15" t="str">
        <f>IFERROR(VLOOKUP(B668,MasterSheet!$B$6:$N$521,3,),"n/a")</f>
        <v>DRINK PACKAGE LID(16OZ)</v>
      </c>
      <c r="D668" s="510">
        <v>1</v>
      </c>
      <c r="E668" s="505" t="str">
        <f>IFERROR(VLOOKUP(B668,[4]MasterSheet!$B$6:$N$515,10,),"N/a")</f>
        <v>ea</v>
      </c>
      <c r="F668" s="506">
        <f>IFERROR(VLOOKUP(B668,MasterSheet!$B$6:$N$521,11,),"N/a")</f>
        <v>200</v>
      </c>
      <c r="G668" s="488">
        <f t="shared" si="170"/>
        <v>200</v>
      </c>
      <c r="H668" s="905"/>
      <c r="I668" s="905"/>
      <c r="J668" s="491"/>
      <c r="K668" s="501">
        <f t="shared" si="172"/>
        <v>0</v>
      </c>
      <c r="L668" s="501">
        <f t="shared" si="173"/>
        <v>0</v>
      </c>
      <c r="M668" s="493"/>
      <c r="N668" s="507"/>
      <c r="O668" s="449"/>
    </row>
    <row r="669" spans="2:15" ht="14.25" hidden="1" customHeight="1" outlineLevel="1">
      <c r="B669" s="523" t="s">
        <v>1162</v>
      </c>
      <c r="C669" s="15" t="str">
        <f>IFERROR(VLOOKUP(B669,MasterSheet!$B$6:$N$521,3,),"n/a")</f>
        <v xml:space="preserve">BB.Q POTATO FRIES BOX (Dine-in) </v>
      </c>
      <c r="D669" s="510">
        <v>1</v>
      </c>
      <c r="E669" s="505" t="str">
        <f>IFERROR(VLOOKUP(B669,[4]MasterSheet!$B$6:$N$515,10,),"N/a")</f>
        <v>ea</v>
      </c>
      <c r="F669" s="506">
        <f>IFERROR(VLOOKUP(B669,MasterSheet!$B$6:$N$521,11,),"N/a")</f>
        <v>535</v>
      </c>
      <c r="G669" s="488">
        <f t="shared" si="170"/>
        <v>535</v>
      </c>
      <c r="H669" s="905"/>
      <c r="I669" s="905"/>
      <c r="J669" s="491">
        <f t="shared" si="171"/>
        <v>0</v>
      </c>
      <c r="K669" s="501"/>
      <c r="L669" s="501">
        <f t="shared" si="173"/>
        <v>0</v>
      </c>
      <c r="M669" s="493"/>
      <c r="N669" s="507"/>
      <c r="O669" s="449"/>
    </row>
    <row r="670" spans="2:15" ht="14.25" hidden="1" customHeight="1" outlineLevel="1">
      <c r="B670" s="523" t="s">
        <v>1395</v>
      </c>
      <c r="C670" s="15" t="str">
        <f>IFERROR(VLOOKUP(B670,MasterSheet!$B$6:$N$521,3,),"n/a")</f>
        <v>BB.Q PAPER BAG FRIES (TakeAway)</v>
      </c>
      <c r="D670" s="510">
        <v>1</v>
      </c>
      <c r="E670" s="505" t="str">
        <f>IFERROR(VLOOKUP(B670,[4]MasterSheet!$B$6:$N$515,10,),"N/a")</f>
        <v>ea</v>
      </c>
      <c r="F670" s="506">
        <f>IFERROR(VLOOKUP(B670,MasterSheet!$B$6:$N$521,11,),"N/a")</f>
        <v>737</v>
      </c>
      <c r="G670" s="488">
        <f t="shared" si="170"/>
        <v>737</v>
      </c>
      <c r="H670" s="905"/>
      <c r="I670" s="905"/>
      <c r="J670" s="491"/>
      <c r="K670" s="501">
        <f t="shared" si="172"/>
        <v>0</v>
      </c>
      <c r="L670" s="501">
        <f t="shared" si="173"/>
        <v>0</v>
      </c>
      <c r="M670" s="493"/>
      <c r="N670" s="507"/>
      <c r="O670" s="449"/>
    </row>
    <row r="671" spans="2:15" ht="14.65" hidden="1" customHeight="1" outlineLevel="1" thickBot="1">
      <c r="B671" s="524" t="s">
        <v>1150</v>
      </c>
      <c r="C671" s="512" t="str">
        <f>IFERROR(VLOOKUP(B671,MasterSheet!$B$6:$N$421,3,),"n/a")</f>
        <v>PARCHMENT PAPER / WRAPPING RICE</v>
      </c>
      <c r="D671" s="513">
        <v>1</v>
      </c>
      <c r="E671" s="514" t="str">
        <f>IFERROR(VLOOKUP(B671,[4]MasterSheet!B449:N1040,10,),"N/a")</f>
        <v>N/a</v>
      </c>
      <c r="F671" s="515">
        <f>IFERROR(VLOOKUP(B671,MasterSheet!$B$6:$N$421,11,),"N/a")</f>
        <v>216.45</v>
      </c>
      <c r="G671" s="516">
        <f t="shared" si="170"/>
        <v>216.45</v>
      </c>
      <c r="H671" s="916"/>
      <c r="I671" s="916"/>
      <c r="J671" s="517">
        <f>D671*$J$654</f>
        <v>0</v>
      </c>
      <c r="K671" s="518">
        <f>D671*$K$654</f>
        <v>0</v>
      </c>
      <c r="L671" s="518">
        <f t="shared" si="173"/>
        <v>0</v>
      </c>
      <c r="M671" s="519"/>
      <c r="N671" s="520"/>
      <c r="O671" s="449"/>
    </row>
    <row r="672" spans="2:15" collapsed="1">
      <c r="B672" s="219" t="s">
        <v>1471</v>
      </c>
      <c r="C672" s="15" t="s">
        <v>1473</v>
      </c>
      <c r="D672" s="184">
        <f>E672*(1+$E$8)</f>
        <v>67100</v>
      </c>
      <c r="E672" s="184">
        <v>61000</v>
      </c>
      <c r="F672" s="174">
        <f>H675</f>
        <v>24637.137762468508</v>
      </c>
      <c r="G672" s="489">
        <f>I675</f>
        <v>24981.137762468508</v>
      </c>
      <c r="H672" s="500">
        <f>F672/E672</f>
        <v>0.40388750430276243</v>
      </c>
      <c r="I672" s="500">
        <f>G672/E672</f>
        <v>0.4095268485650575</v>
      </c>
      <c r="J672" s="501">
        <f>VLOOKUP(B672,'SALES MIX'!B14:J104,4)</f>
        <v>4</v>
      </c>
      <c r="K672" s="501">
        <f>VLOOKUP(B672,'SALES MIX'!B14:J104,5)</f>
        <v>2</v>
      </c>
      <c r="L672" s="221">
        <f>((F672*J672)+(G672*K672))/((J672+K672)*E672)</f>
        <v>0.40576728572352744</v>
      </c>
      <c r="M672" s="493"/>
      <c r="N672" s="493"/>
      <c r="O672" s="449"/>
    </row>
    <row r="673" spans="2:15" ht="14.65" hidden="1" customHeight="1" outlineLevel="1" thickTop="1">
      <c r="B673" s="913" t="s">
        <v>608</v>
      </c>
      <c r="C673" s="914" t="s">
        <v>1305</v>
      </c>
      <c r="D673" s="915" t="s">
        <v>1306</v>
      </c>
      <c r="E673" s="915" t="s">
        <v>60</v>
      </c>
      <c r="F673" s="915" t="s">
        <v>615</v>
      </c>
      <c r="G673" s="915" t="s">
        <v>755</v>
      </c>
      <c r="H673" s="907" t="s">
        <v>1312</v>
      </c>
      <c r="I673" s="907"/>
      <c r="J673" s="907" t="s">
        <v>1319</v>
      </c>
      <c r="K673" s="907"/>
      <c r="L673" s="908" t="s">
        <v>1313</v>
      </c>
      <c r="M673" s="907" t="s">
        <v>912</v>
      </c>
      <c r="N673" s="917"/>
      <c r="O673" s="449"/>
    </row>
    <row r="674" spans="2:15" ht="14.65" hidden="1" customHeight="1" outlineLevel="1" thickBot="1">
      <c r="B674" s="894"/>
      <c r="C674" s="896"/>
      <c r="D674" s="898"/>
      <c r="E674" s="898"/>
      <c r="F674" s="898"/>
      <c r="G674" s="898"/>
      <c r="H674" s="502" t="s">
        <v>1309</v>
      </c>
      <c r="I674" s="502" t="s">
        <v>1308</v>
      </c>
      <c r="J674" s="502" t="s">
        <v>1309</v>
      </c>
      <c r="K674" s="502" t="s">
        <v>1308</v>
      </c>
      <c r="L674" s="901"/>
      <c r="M674" s="903"/>
      <c r="N674" s="904"/>
      <c r="O674" s="449"/>
    </row>
    <row r="675" spans="2:15" ht="14.25" hidden="1" customHeight="1" outlineLevel="1">
      <c r="B675" s="504" t="s">
        <v>631</v>
      </c>
      <c r="C675" s="15" t="str">
        <f>IFERROR(VLOOKUP(B675,MasterSheet!$B$6:$N$150,3,),"n/a")</f>
        <v>Injected Whole Chicken (1.25kg)</v>
      </c>
      <c r="D675" s="499">
        <f>1250/9*2</f>
        <v>277.77777777777777</v>
      </c>
      <c r="E675" s="505" t="str">
        <f>IFERROR(VLOOKUP(B675,[4]MasterSheet!$B$6:$N$144,10,),"N/a")</f>
        <v>g</v>
      </c>
      <c r="F675" s="506">
        <f>IFERROR(VLOOKUP(B675,MasterSheet!$B$6:$N$150,11,),"N/a")</f>
        <v>34.314223999999996</v>
      </c>
      <c r="G675" s="488">
        <f>IFERROR(D675*F675,"_")</f>
        <v>9531.728888888887</v>
      </c>
      <c r="H675" s="905">
        <f>SUM(G675:G683,G685,G689,G687,G688)</f>
        <v>24637.137762468508</v>
      </c>
      <c r="I675" s="905">
        <f>SUM(G675:G682,G684,G685,G689,G686,G688,670)</f>
        <v>24981.137762468508</v>
      </c>
      <c r="J675" s="491">
        <f>D675*$J$672</f>
        <v>1111.1111111111111</v>
      </c>
      <c r="K675" s="501">
        <f>D675*$K$672</f>
        <v>555.55555555555554</v>
      </c>
      <c r="L675" s="501">
        <f>SUM(J675:K675)</f>
        <v>1666.6666666666665</v>
      </c>
      <c r="M675" s="493"/>
      <c r="N675" s="507"/>
      <c r="O675" s="449"/>
    </row>
    <row r="676" spans="2:15" ht="14.25" hidden="1" customHeight="1" outlineLevel="1">
      <c r="B676" s="508" t="s">
        <v>757</v>
      </c>
      <c r="C676" s="15" t="str">
        <f>IFERROR(VLOOKUP(B676,MasterSheet!$B$6:$N$150,3,),"n/a")</f>
        <v xml:space="preserve">Marinade Powder Mix </v>
      </c>
      <c r="D676" s="499">
        <f>D675*0.012</f>
        <v>3.3333333333333335</v>
      </c>
      <c r="E676" s="505" t="str">
        <f>IFERROR(VLOOKUP(B676,[4]MasterSheet!$B$6:$N$144,10,),"N/a")</f>
        <v>g</v>
      </c>
      <c r="F676" s="506">
        <f>IFERROR(VLOOKUP(B676,MasterSheet!$B$6:$N$150,11,),"N/a")</f>
        <v>117.51275510204081</v>
      </c>
      <c r="G676" s="488">
        <f t="shared" ref="G676:G689" si="174">IFERROR(D676*F676,"_")</f>
        <v>391.7091836734694</v>
      </c>
      <c r="H676" s="905"/>
      <c r="I676" s="905"/>
      <c r="J676" s="491">
        <f t="shared" ref="J676:J682" si="175">D676*$J$672</f>
        <v>13.333333333333334</v>
      </c>
      <c r="K676" s="501">
        <f t="shared" ref="K676:K688" si="176">D676*$K$672</f>
        <v>6.666666666666667</v>
      </c>
      <c r="L676" s="501">
        <f t="shared" ref="L676:L688" si="177">SUM(J676:K676)</f>
        <v>20</v>
      </c>
      <c r="M676" s="493"/>
      <c r="N676" s="507"/>
      <c r="O676" s="449"/>
    </row>
    <row r="677" spans="2:15" ht="14.25" hidden="1" customHeight="1" outlineLevel="1">
      <c r="B677" s="508" t="s">
        <v>4</v>
      </c>
      <c r="C677" s="15" t="str">
        <f>IFERROR(VLOOKUP(B677,MasterSheet!$B$6:$N$150,3,),"n/a")</f>
        <v>Battering Powder Mix</v>
      </c>
      <c r="D677" s="499">
        <f>D675*0.175</f>
        <v>48.611111111111107</v>
      </c>
      <c r="E677" s="505" t="str">
        <f>IFERROR(VLOOKUP(B677,[4]MasterSheet!$B$6:$N$144,10,),"N/a")</f>
        <v>g</v>
      </c>
      <c r="F677" s="506">
        <f>IFERROR(VLOOKUP(B677,MasterSheet!$B$6:$N$150,11,),"N/a")</f>
        <v>81.617647058823536</v>
      </c>
      <c r="G677" s="488">
        <f t="shared" si="174"/>
        <v>3967.5245098039218</v>
      </c>
      <c r="H677" s="905"/>
      <c r="I677" s="905"/>
      <c r="J677" s="491">
        <f t="shared" si="175"/>
        <v>194.44444444444443</v>
      </c>
      <c r="K677" s="501">
        <f t="shared" si="176"/>
        <v>97.222222222222214</v>
      </c>
      <c r="L677" s="501">
        <f t="shared" si="177"/>
        <v>291.66666666666663</v>
      </c>
      <c r="M677" s="493"/>
      <c r="N677" s="507"/>
      <c r="O677" s="449"/>
    </row>
    <row r="678" spans="2:15" ht="14.25" hidden="1" customHeight="1" outlineLevel="1">
      <c r="B678" s="508" t="s">
        <v>999</v>
      </c>
      <c r="C678" s="15" t="str">
        <f>IFERROR(VLOOKUP(B678,MasterSheet!$B$6:$N$150,3,),"n/a")</f>
        <v>Palm Oil</v>
      </c>
      <c r="D678" s="499">
        <f>D675*0.1</f>
        <v>27.777777777777779</v>
      </c>
      <c r="E678" s="505" t="str">
        <f>IFERROR(VLOOKUP(B678,[4]MasterSheet!$B$6:$N$144,10,),"N/a")</f>
        <v>g</v>
      </c>
      <c r="F678" s="506">
        <f>IFERROR(VLOOKUP(B678,MasterSheet!$B$6:$N$150,11,),"N/a")</f>
        <v>25.580404040404041</v>
      </c>
      <c r="G678" s="488">
        <f t="shared" si="174"/>
        <v>710.56677890011224</v>
      </c>
      <c r="H678" s="905"/>
      <c r="I678" s="905"/>
      <c r="J678" s="491">
        <f t="shared" si="175"/>
        <v>111.11111111111111</v>
      </c>
      <c r="K678" s="501">
        <f t="shared" si="176"/>
        <v>55.555555555555557</v>
      </c>
      <c r="L678" s="501">
        <f t="shared" si="177"/>
        <v>166.66666666666669</v>
      </c>
      <c r="M678" s="493"/>
      <c r="N678" s="507"/>
      <c r="O678" s="449"/>
    </row>
    <row r="679" spans="2:15" ht="14.25" hidden="1" customHeight="1" outlineLevel="1">
      <c r="B679" s="508" t="s">
        <v>785</v>
      </c>
      <c r="C679" s="15" t="str">
        <f>IFERROR(VLOOKUP(B679,MasterSheet!$B$6:$N$150,3,),"n/a")</f>
        <v xml:space="preserve">Black Tea (w/water) </v>
      </c>
      <c r="D679" s="499">
        <v>250</v>
      </c>
      <c r="E679" s="505" t="str">
        <f>IFERROR(VLOOKUP(B679,[4]MasterSheet!$B$6:$N$144,10,),"N/a")</f>
        <v>g</v>
      </c>
      <c r="F679" s="506">
        <f>IFERROR(VLOOKUP(B679,MasterSheet!$B$6:$N$150,11,),"N/a")</f>
        <v>1.6818181818181819</v>
      </c>
      <c r="G679" s="488">
        <f t="shared" si="174"/>
        <v>420.4545454545455</v>
      </c>
      <c r="H679" s="905"/>
      <c r="I679" s="905"/>
      <c r="J679" s="491">
        <f t="shared" si="175"/>
        <v>1000</v>
      </c>
      <c r="K679" s="501">
        <f t="shared" si="176"/>
        <v>500</v>
      </c>
      <c r="L679" s="501">
        <f t="shared" si="177"/>
        <v>1500</v>
      </c>
      <c r="M679" s="493"/>
      <c r="N679" s="507"/>
      <c r="O679" s="449"/>
    </row>
    <row r="680" spans="2:15" ht="14.25" hidden="1" customHeight="1" outlineLevel="1">
      <c r="B680" s="508" t="s">
        <v>1029</v>
      </c>
      <c r="C680" s="15" t="str">
        <f>IFERROR(VLOOKUP(B680,MasterSheet!$B$6:$N$150,3,),"n/a")</f>
        <v>GIMBORI (Crispy Seaweed)</v>
      </c>
      <c r="D680" s="499">
        <v>1</v>
      </c>
      <c r="E680" s="505" t="str">
        <f>IFERROR(VLOOKUP(B680,[4]MasterSheet!$B$6:$N$144,10,),"N/a")</f>
        <v>g</v>
      </c>
      <c r="F680" s="506">
        <f>IFERROR(VLOOKUP(B680,MasterSheet!$B$6:$N$150,11,),"N/a")</f>
        <v>390.90909090909093</v>
      </c>
      <c r="G680" s="488">
        <f t="shared" si="174"/>
        <v>390.90909090909093</v>
      </c>
      <c r="H680" s="905"/>
      <c r="I680" s="905"/>
      <c r="J680" s="491">
        <f t="shared" si="175"/>
        <v>4</v>
      </c>
      <c r="K680" s="501">
        <f t="shared" si="176"/>
        <v>2</v>
      </c>
      <c r="L680" s="501">
        <f t="shared" si="177"/>
        <v>6</v>
      </c>
      <c r="M680" s="493"/>
      <c r="N680" s="507"/>
      <c r="O680" s="449"/>
    </row>
    <row r="681" spans="2:15" ht="14.25" hidden="1" customHeight="1" outlineLevel="1">
      <c r="B681" s="509" t="s">
        <v>567</v>
      </c>
      <c r="C681" s="15" t="str">
        <f>VLOOKUP(B681,CK!$B$8:$L$87,4,)</f>
        <v>Battering Powder Mix Solution(White)</v>
      </c>
      <c r="D681" s="510">
        <f>D675*0.2</f>
        <v>55.555555555555557</v>
      </c>
      <c r="E681" s="505" t="str">
        <f>VLOOKUP(B681,[4]CK!$B$8:$L$87,9,)</f>
        <v>g</v>
      </c>
      <c r="F681" s="506">
        <f>VLOOKUP(B681,CK!$B$8:$L$87,10,)</f>
        <v>30.23</v>
      </c>
      <c r="G681" s="488">
        <f t="shared" si="174"/>
        <v>1679.4444444444446</v>
      </c>
      <c r="H681" s="905"/>
      <c r="I681" s="905"/>
      <c r="J681" s="491">
        <f t="shared" si="175"/>
        <v>222.22222222222223</v>
      </c>
      <c r="K681" s="501">
        <f t="shared" si="176"/>
        <v>111.11111111111111</v>
      </c>
      <c r="L681" s="501">
        <f t="shared" si="177"/>
        <v>333.33333333333337</v>
      </c>
      <c r="M681" s="493"/>
      <c r="N681" s="507"/>
      <c r="O681" s="449"/>
    </row>
    <row r="682" spans="2:15" ht="14.25" hidden="1" customHeight="1" outlineLevel="1">
      <c r="B682" s="509" t="s">
        <v>1413</v>
      </c>
      <c r="C682" s="15" t="str">
        <f>VLOOKUP(B682,CK!$B$8:$L$87,4,)</f>
        <v xml:space="preserve">Tteokbokki </v>
      </c>
      <c r="D682" s="510">
        <v>163</v>
      </c>
      <c r="E682" s="505" t="str">
        <f>VLOOKUP(B682,[4]CK!$B$8:$L$87,9,)</f>
        <v>g</v>
      </c>
      <c r="F682" s="506">
        <f>VLOOKUP(B682,CK!$B$8:$L$87,10,)</f>
        <v>26.910124664994086</v>
      </c>
      <c r="G682" s="488">
        <f t="shared" si="174"/>
        <v>4386.3503203940363</v>
      </c>
      <c r="H682" s="905"/>
      <c r="I682" s="905"/>
      <c r="J682" s="491">
        <f t="shared" si="175"/>
        <v>652</v>
      </c>
      <c r="K682" s="501">
        <f t="shared" si="176"/>
        <v>326</v>
      </c>
      <c r="L682" s="501">
        <f t="shared" si="177"/>
        <v>978</v>
      </c>
      <c r="M682" s="493"/>
      <c r="N682" s="507"/>
      <c r="O682" s="449"/>
    </row>
    <row r="683" spans="2:15" ht="14.25" hidden="1" customHeight="1" outlineLevel="1">
      <c r="B683" s="523" t="s">
        <v>1341</v>
      </c>
      <c r="C683" s="15" t="str">
        <f>IFERROR(VLOOKUP(B683,MasterSheet!$B$6:$N$521,3,),"n/a")</f>
        <v>BB.Q Papertray</v>
      </c>
      <c r="D683" s="510">
        <v>1</v>
      </c>
      <c r="E683" s="505" t="str">
        <f>IFERROR(VLOOKUP(B683,[4]MasterSheet!$B$6:$N$515,10,),"N/a")</f>
        <v>ea</v>
      </c>
      <c r="F683" s="506">
        <f>IFERROR(VLOOKUP(B683,MasterSheet!$B$6:$N$521,11,),"N/a")</f>
        <v>600</v>
      </c>
      <c r="G683" s="488">
        <f t="shared" si="174"/>
        <v>600</v>
      </c>
      <c r="H683" s="905"/>
      <c r="I683" s="905"/>
      <c r="J683" s="491">
        <f>D683*$J$672</f>
        <v>4</v>
      </c>
      <c r="K683" s="501"/>
      <c r="L683" s="501">
        <f t="shared" si="177"/>
        <v>4</v>
      </c>
      <c r="M683" s="493"/>
      <c r="N683" s="507"/>
      <c r="O683" s="449"/>
    </row>
    <row r="684" spans="2:15" ht="14.25" hidden="1" customHeight="1" outlineLevel="1">
      <c r="B684" s="523" t="s">
        <v>1337</v>
      </c>
      <c r="C684" s="15" t="str">
        <f>IFERROR(VLOOKUP(B684,MasterSheet!$B$6:$N$521,3,),"n/a")</f>
        <v>BB.Q FOODPAIL L</v>
      </c>
      <c r="D684" s="510">
        <v>1</v>
      </c>
      <c r="E684" s="505" t="str">
        <f>IFERROR(VLOOKUP(B684,[4]MasterSheet!$B$6:$N$515,10,),"N/a")</f>
        <v>ea</v>
      </c>
      <c r="F684" s="506">
        <f>IFERROR(VLOOKUP(B684,MasterSheet!$B$6:$N$521,11,),"N/a")</f>
        <v>1238</v>
      </c>
      <c r="G684" s="488">
        <f t="shared" si="174"/>
        <v>1238</v>
      </c>
      <c r="H684" s="905"/>
      <c r="I684" s="905"/>
      <c r="J684" s="491"/>
      <c r="K684" s="501">
        <f t="shared" si="176"/>
        <v>2</v>
      </c>
      <c r="L684" s="501">
        <f t="shared" si="177"/>
        <v>2</v>
      </c>
      <c r="M684" s="493"/>
      <c r="N684" s="507"/>
      <c r="O684" s="449"/>
    </row>
    <row r="685" spans="2:15" ht="14.25" hidden="1" customHeight="1" outlineLevel="1">
      <c r="B685" s="523" t="s">
        <v>1365</v>
      </c>
      <c r="C685" s="15" t="str">
        <f>IFERROR(VLOOKUP(B685,MasterSheet!$B$6:$N$521,3,),"n/a")</f>
        <v>Drink Package(16oz)</v>
      </c>
      <c r="D685" s="510">
        <v>1</v>
      </c>
      <c r="E685" s="505" t="str">
        <f>IFERROR(VLOOKUP(B685,[4]MasterSheet!$B$6:$N$515,10,),"N/a")</f>
        <v>ea</v>
      </c>
      <c r="F685" s="506">
        <f>IFERROR(VLOOKUP(B685,MasterSheet!$B$6:$N$521,11,),"N/a")</f>
        <v>750</v>
      </c>
      <c r="G685" s="488">
        <f t="shared" si="174"/>
        <v>750</v>
      </c>
      <c r="H685" s="905"/>
      <c r="I685" s="905"/>
      <c r="J685" s="491">
        <f>D685*$J$672</f>
        <v>4</v>
      </c>
      <c r="K685" s="501">
        <f t="shared" si="176"/>
        <v>2</v>
      </c>
      <c r="L685" s="501">
        <f t="shared" si="177"/>
        <v>6</v>
      </c>
      <c r="M685" s="493"/>
      <c r="N685" s="507"/>
      <c r="O685" s="449"/>
    </row>
    <row r="686" spans="2:15" ht="14.25" hidden="1" customHeight="1" outlineLevel="1">
      <c r="B686" s="523" t="s">
        <v>1384</v>
      </c>
      <c r="C686" s="15" t="str">
        <f>IFERROR(VLOOKUP(B686,MasterSheet!$B$6:$N$521,3,),"n/a")</f>
        <v>DRINK PACKAGE LID(16OZ)</v>
      </c>
      <c r="D686" s="510">
        <v>1</v>
      </c>
      <c r="E686" s="505" t="str">
        <f>IFERROR(VLOOKUP(B686,[4]MasterSheet!$B$6:$N$515,10,),"N/a")</f>
        <v>ea</v>
      </c>
      <c r="F686" s="506">
        <f>IFERROR(VLOOKUP(B686,MasterSheet!$B$6:$N$521,11,),"N/a")</f>
        <v>200</v>
      </c>
      <c r="G686" s="488">
        <f t="shared" si="174"/>
        <v>200</v>
      </c>
      <c r="H686" s="905"/>
      <c r="I686" s="905"/>
      <c r="J686" s="491"/>
      <c r="K686" s="501">
        <f t="shared" si="176"/>
        <v>2</v>
      </c>
      <c r="L686" s="501">
        <f t="shared" si="177"/>
        <v>2</v>
      </c>
      <c r="M686" s="493"/>
      <c r="N686" s="507"/>
      <c r="O686" s="449"/>
    </row>
    <row r="687" spans="2:15" ht="14.25" hidden="1" customHeight="1" outlineLevel="1">
      <c r="B687" s="523" t="s">
        <v>1414</v>
      </c>
      <c r="C687" s="15" t="str">
        <f>IFERROR(VLOOKUP(B687,MasterSheet!$B$6:$N$521,3,),"n/a")</f>
        <v>PAPER BOWL PACKAGE (500ML)</v>
      </c>
      <c r="D687" s="510">
        <v>1</v>
      </c>
      <c r="E687" s="505" t="str">
        <f>IFERROR(VLOOKUP(B687,[4]MasterSheet!$B$6:$N$515,10,),"N/a")</f>
        <v>ea</v>
      </c>
      <c r="F687" s="506">
        <f>IFERROR(VLOOKUP(B687,MasterSheet!$B$6:$N$521,11,),"N/a")</f>
        <v>1164</v>
      </c>
      <c r="G687" s="488">
        <f t="shared" si="174"/>
        <v>1164</v>
      </c>
      <c r="H687" s="905"/>
      <c r="I687" s="905"/>
      <c r="J687" s="491">
        <f>D687*$J$672</f>
        <v>4</v>
      </c>
      <c r="K687" s="501">
        <f t="shared" si="176"/>
        <v>2</v>
      </c>
      <c r="L687" s="501">
        <f t="shared" si="177"/>
        <v>6</v>
      </c>
      <c r="M687" s="493"/>
      <c r="N687" s="507"/>
      <c r="O687" s="449"/>
    </row>
    <row r="688" spans="2:15" ht="14.25" hidden="1" customHeight="1" outlineLevel="1">
      <c r="B688" s="523" t="s">
        <v>1415</v>
      </c>
      <c r="C688" s="15" t="str">
        <f>IFERROR(VLOOKUP(B688,MasterSheet!$B$6:$N$521,3,),"n/a")</f>
        <v>PAPER BOWL PACKAGE (500ML) LID</v>
      </c>
      <c r="D688" s="510">
        <v>1</v>
      </c>
      <c r="E688" s="505" t="str">
        <f>IFERROR(VLOOKUP(B688,[4]MasterSheet!$B$6:$N$515,10,),"N/a")</f>
        <v>ea</v>
      </c>
      <c r="F688" s="506">
        <f>IFERROR(VLOOKUP(B688,MasterSheet!$B$6:$N$521,11,),"N/a")</f>
        <v>428</v>
      </c>
      <c r="G688" s="488">
        <f t="shared" si="174"/>
        <v>428</v>
      </c>
      <c r="H688" s="905"/>
      <c r="I688" s="905"/>
      <c r="J688" s="491">
        <f>D688*$J$672</f>
        <v>4</v>
      </c>
      <c r="K688" s="501">
        <f t="shared" si="176"/>
        <v>2</v>
      </c>
      <c r="L688" s="501">
        <f t="shared" si="177"/>
        <v>6</v>
      </c>
      <c r="M688" s="493"/>
      <c r="N688" s="507"/>
      <c r="O688" s="449"/>
    </row>
    <row r="689" spans="2:15" ht="14.65" hidden="1" customHeight="1" outlineLevel="1" thickBot="1">
      <c r="B689" s="524" t="s">
        <v>1150</v>
      </c>
      <c r="C689" s="512" t="str">
        <f>IFERROR(VLOOKUP(B689,MasterSheet!$B$6:$N$421,3,),"n/a")</f>
        <v>PARCHMENT PAPER / WRAPPING RICE</v>
      </c>
      <c r="D689" s="513">
        <v>1</v>
      </c>
      <c r="E689" s="514" t="str">
        <f>IFERROR(VLOOKUP(B689,[4]MasterSheet!B469:N1060,10,),"N/a")</f>
        <v>N/a</v>
      </c>
      <c r="F689" s="515">
        <f>IFERROR(VLOOKUP(B689,MasterSheet!$B$6:$N$421,11,),"N/a")</f>
        <v>216.45</v>
      </c>
      <c r="G689" s="516">
        <f t="shared" si="174"/>
        <v>216.45</v>
      </c>
      <c r="H689" s="916"/>
      <c r="I689" s="916"/>
      <c r="J689" s="517">
        <f>D689*$J$672</f>
        <v>4</v>
      </c>
      <c r="K689" s="518">
        <f>D689*$K$672</f>
        <v>2</v>
      </c>
      <c r="L689" s="518">
        <f>SUM(J689:K689)</f>
        <v>6</v>
      </c>
      <c r="M689" s="519"/>
      <c r="N689" s="520"/>
      <c r="O689" s="449"/>
    </row>
    <row r="690" spans="2:15" collapsed="1">
      <c r="B690" s="219" t="s">
        <v>1474</v>
      </c>
      <c r="C690" s="15" t="s">
        <v>1476</v>
      </c>
      <c r="D690" s="184">
        <f>E690*(1+$E$8)</f>
        <v>73700</v>
      </c>
      <c r="E690" s="184">
        <v>67000</v>
      </c>
      <c r="F690" s="174">
        <f>H693</f>
        <v>30297.94505413518</v>
      </c>
      <c r="G690" s="489">
        <f>I693</f>
        <v>31135.94505413518</v>
      </c>
      <c r="H690" s="500">
        <f>F690/E690</f>
        <v>0.45220813513634595</v>
      </c>
      <c r="I690" s="500">
        <f>G690/E690</f>
        <v>0.46471559782291311</v>
      </c>
      <c r="J690" s="501">
        <f>VLOOKUP(B690,'SALES MIX'!B14:J104,4)</f>
        <v>0</v>
      </c>
      <c r="K690" s="501">
        <f>VLOOKUP(B690,'SALES MIX'!B14:J104,5)</f>
        <v>0</v>
      </c>
      <c r="L690" s="221" t="e">
        <f>((F690*J690)+(G690*K690))/((J690+K690)*E690)</f>
        <v>#DIV/0!</v>
      </c>
      <c r="M690" s="493"/>
      <c r="N690" s="493"/>
      <c r="O690" s="449"/>
    </row>
    <row r="691" spans="2:15" ht="14.65" hidden="1" customHeight="1" outlineLevel="1" thickTop="1">
      <c r="B691" s="913" t="s">
        <v>608</v>
      </c>
      <c r="C691" s="914" t="s">
        <v>1305</v>
      </c>
      <c r="D691" s="915" t="s">
        <v>1306</v>
      </c>
      <c r="E691" s="915" t="s">
        <v>60</v>
      </c>
      <c r="F691" s="915" t="s">
        <v>615</v>
      </c>
      <c r="G691" s="915" t="s">
        <v>755</v>
      </c>
      <c r="H691" s="907" t="s">
        <v>1312</v>
      </c>
      <c r="I691" s="907"/>
      <c r="J691" s="907" t="s">
        <v>1319</v>
      </c>
      <c r="K691" s="907"/>
      <c r="L691" s="908" t="s">
        <v>1313</v>
      </c>
      <c r="M691" s="907" t="s">
        <v>912</v>
      </c>
      <c r="N691" s="917"/>
      <c r="O691" s="449"/>
    </row>
    <row r="692" spans="2:15" ht="14.65" hidden="1" customHeight="1" outlineLevel="1" thickBot="1">
      <c r="B692" s="894"/>
      <c r="C692" s="896"/>
      <c r="D692" s="898"/>
      <c r="E692" s="898"/>
      <c r="F692" s="898"/>
      <c r="G692" s="898"/>
      <c r="H692" s="502" t="s">
        <v>1309</v>
      </c>
      <c r="I692" s="502" t="s">
        <v>1308</v>
      </c>
      <c r="J692" s="502" t="s">
        <v>1309</v>
      </c>
      <c r="K692" s="502" t="s">
        <v>1308</v>
      </c>
      <c r="L692" s="901"/>
      <c r="M692" s="903"/>
      <c r="N692" s="904"/>
      <c r="O692" s="449"/>
    </row>
    <row r="693" spans="2:15" ht="14.25" hidden="1" customHeight="1" outlineLevel="1">
      <c r="B693" s="504" t="s">
        <v>631</v>
      </c>
      <c r="C693" s="15" t="str">
        <f>IFERROR(VLOOKUP(B693,MasterSheet!$B$6:$N$150,3,),"n/a")</f>
        <v>Injected Whole Chicken (1.25kg)</v>
      </c>
      <c r="D693" s="499">
        <f>1250/9*2</f>
        <v>277.77777777777777</v>
      </c>
      <c r="E693" s="505" t="str">
        <f>IFERROR(VLOOKUP(B693,[4]MasterSheet!$B$6:$N$144,10,),"N/a")</f>
        <v>g</v>
      </c>
      <c r="F693" s="506">
        <f>IFERROR(VLOOKUP(B693,MasterSheet!$B$6:$N$150,11,),"N/a")</f>
        <v>34.314223999999996</v>
      </c>
      <c r="G693" s="488">
        <f>IFERROR(D693*F693,"_")</f>
        <v>9531.728888888887</v>
      </c>
      <c r="H693" s="905">
        <f>SUM(G693:G702,G704,G708,G706,G707)</f>
        <v>30297.94505413518</v>
      </c>
      <c r="I693" s="905">
        <f>SUM(G693:G701,G703,G704,G708,G705,G707,G706)</f>
        <v>31135.94505413518</v>
      </c>
      <c r="J693" s="491">
        <f>D693*$J$690</f>
        <v>0</v>
      </c>
      <c r="K693" s="501">
        <f>D693*$K$690</f>
        <v>0</v>
      </c>
      <c r="L693" s="501">
        <f>SUM(J693:K693)</f>
        <v>0</v>
      </c>
      <c r="M693" s="493"/>
      <c r="N693" s="507"/>
      <c r="O693" s="449"/>
    </row>
    <row r="694" spans="2:15" ht="14.25" hidden="1" customHeight="1" outlineLevel="1">
      <c r="B694" s="508" t="s">
        <v>757</v>
      </c>
      <c r="C694" s="15" t="str">
        <f>IFERROR(VLOOKUP(B694,MasterSheet!$B$6:$N$150,3,),"n/a")</f>
        <v xml:space="preserve">Marinade Powder Mix </v>
      </c>
      <c r="D694" s="499">
        <f>D693*0.012</f>
        <v>3.3333333333333335</v>
      </c>
      <c r="E694" s="505" t="str">
        <f>IFERROR(VLOOKUP(B694,[4]MasterSheet!$B$6:$N$144,10,),"N/a")</f>
        <v>g</v>
      </c>
      <c r="F694" s="506">
        <f>IFERROR(VLOOKUP(B694,MasterSheet!$B$6:$N$150,11,),"N/a")</f>
        <v>117.51275510204081</v>
      </c>
      <c r="G694" s="488">
        <f t="shared" ref="G694:G708" si="178">IFERROR(D694*F694,"_")</f>
        <v>391.7091836734694</v>
      </c>
      <c r="H694" s="905"/>
      <c r="I694" s="905"/>
      <c r="J694" s="491">
        <f t="shared" ref="J694:J701" si="179">D694*$J$690</f>
        <v>0</v>
      </c>
      <c r="K694" s="501">
        <f t="shared" ref="K694:K701" si="180">D694*$K$690</f>
        <v>0</v>
      </c>
      <c r="L694" s="501">
        <f t="shared" ref="L694:L707" si="181">SUM(J694:K694)</f>
        <v>0</v>
      </c>
      <c r="M694" s="493"/>
      <c r="N694" s="507"/>
      <c r="O694" s="449"/>
    </row>
    <row r="695" spans="2:15" ht="14.25" hidden="1" customHeight="1" outlineLevel="1">
      <c r="B695" s="508" t="s">
        <v>4</v>
      </c>
      <c r="C695" s="15" t="str">
        <f>IFERROR(VLOOKUP(B695,MasterSheet!$B$6:$N$150,3,),"n/a")</f>
        <v>Battering Powder Mix</v>
      </c>
      <c r="D695" s="499">
        <f>D693*0.175</f>
        <v>48.611111111111107</v>
      </c>
      <c r="E695" s="505" t="str">
        <f>IFERROR(VLOOKUP(B695,[4]MasterSheet!$B$6:$N$144,10,),"N/a")</f>
        <v>g</v>
      </c>
      <c r="F695" s="506">
        <f>IFERROR(VLOOKUP(B695,MasterSheet!$B$6:$N$150,11,),"N/a")</f>
        <v>81.617647058823536</v>
      </c>
      <c r="G695" s="488">
        <f t="shared" si="178"/>
        <v>3967.5245098039218</v>
      </c>
      <c r="H695" s="905"/>
      <c r="I695" s="905"/>
      <c r="J695" s="491">
        <f t="shared" si="179"/>
        <v>0</v>
      </c>
      <c r="K695" s="501">
        <f t="shared" si="180"/>
        <v>0</v>
      </c>
      <c r="L695" s="501">
        <f t="shared" si="181"/>
        <v>0</v>
      </c>
      <c r="M695" s="493"/>
      <c r="N695" s="507"/>
      <c r="O695" s="449"/>
    </row>
    <row r="696" spans="2:15" ht="14.25" hidden="1" customHeight="1" outlineLevel="1">
      <c r="B696" s="508" t="s">
        <v>999</v>
      </c>
      <c r="C696" s="15" t="str">
        <f>IFERROR(VLOOKUP(B696,MasterSheet!$B$6:$N$150,3,),"n/a")</f>
        <v>Palm Oil</v>
      </c>
      <c r="D696" s="499">
        <f>D693*0.1</f>
        <v>27.777777777777779</v>
      </c>
      <c r="E696" s="505" t="str">
        <f>IFERROR(VLOOKUP(B696,[4]MasterSheet!$B$6:$N$144,10,),"N/a")</f>
        <v>g</v>
      </c>
      <c r="F696" s="506">
        <f>IFERROR(VLOOKUP(B696,MasterSheet!$B$6:$N$150,11,),"N/a")</f>
        <v>25.580404040404041</v>
      </c>
      <c r="G696" s="488">
        <f t="shared" si="178"/>
        <v>710.56677890011224</v>
      </c>
      <c r="H696" s="905"/>
      <c r="I696" s="905"/>
      <c r="J696" s="491">
        <f t="shared" si="179"/>
        <v>0</v>
      </c>
      <c r="K696" s="501">
        <f t="shared" si="180"/>
        <v>0</v>
      </c>
      <c r="L696" s="501">
        <f t="shared" si="181"/>
        <v>0</v>
      </c>
      <c r="M696" s="493"/>
      <c r="N696" s="507"/>
      <c r="O696" s="449"/>
    </row>
    <row r="697" spans="2:15" ht="14.25" hidden="1" customHeight="1" outlineLevel="1">
      <c r="B697" s="508" t="s">
        <v>725</v>
      </c>
      <c r="C697" s="15" t="str">
        <f>IFERROR(VLOOKUP(B697,MasterSheet!$B$6:$N$150,3,),"n/a")</f>
        <v>Hot Spicy Sauce</v>
      </c>
      <c r="D697" s="499">
        <f>D693*15%</f>
        <v>41.666666666666664</v>
      </c>
      <c r="E697" s="505" t="str">
        <f>IFERROR(VLOOKUP(B697,[4]MasterSheet!$B$6:$N$144,10,),"N/a")</f>
        <v>g</v>
      </c>
      <c r="F697" s="506">
        <f>IFERROR(VLOOKUP(B697,MasterSheet!$B$6:$N$150,11,),"N/a")</f>
        <v>135.85937500000003</v>
      </c>
      <c r="G697" s="488">
        <f t="shared" si="178"/>
        <v>5660.8072916666679</v>
      </c>
      <c r="H697" s="905"/>
      <c r="I697" s="905"/>
      <c r="J697" s="491">
        <f t="shared" si="179"/>
        <v>0</v>
      </c>
      <c r="K697" s="501">
        <f t="shared" si="180"/>
        <v>0</v>
      </c>
      <c r="L697" s="501">
        <f t="shared" si="181"/>
        <v>0</v>
      </c>
      <c r="M697" s="493"/>
      <c r="N697" s="507"/>
      <c r="O697" s="449"/>
    </row>
    <row r="698" spans="2:15" ht="14.25" hidden="1" customHeight="1" outlineLevel="1">
      <c r="B698" s="508" t="s">
        <v>785</v>
      </c>
      <c r="C698" s="15" t="str">
        <f>IFERROR(VLOOKUP(B698,MasterSheet!$B$6:$N$150,3,),"n/a")</f>
        <v xml:space="preserve">Black Tea (w/water) </v>
      </c>
      <c r="D698" s="499">
        <v>250</v>
      </c>
      <c r="E698" s="505" t="str">
        <f>IFERROR(VLOOKUP(B698,[4]MasterSheet!$B$6:$N$144,10,),"N/a")</f>
        <v>g</v>
      </c>
      <c r="F698" s="506">
        <f>IFERROR(VLOOKUP(B698,MasterSheet!$B$6:$N$150,11,),"N/a")</f>
        <v>1.6818181818181819</v>
      </c>
      <c r="G698" s="488">
        <f t="shared" si="178"/>
        <v>420.4545454545455</v>
      </c>
      <c r="H698" s="905"/>
      <c r="I698" s="905"/>
      <c r="J698" s="491">
        <f t="shared" si="179"/>
        <v>0</v>
      </c>
      <c r="K698" s="501">
        <f t="shared" si="180"/>
        <v>0</v>
      </c>
      <c r="L698" s="501">
        <f t="shared" si="181"/>
        <v>0</v>
      </c>
      <c r="M698" s="493"/>
      <c r="N698" s="507"/>
      <c r="O698" s="449"/>
    </row>
    <row r="699" spans="2:15" ht="14.25" hidden="1" customHeight="1" outlineLevel="1">
      <c r="B699" s="508" t="s">
        <v>1029</v>
      </c>
      <c r="C699" s="15" t="str">
        <f>IFERROR(VLOOKUP(B699,MasterSheet!$B$6:$N$150,3,),"n/a")</f>
        <v>GIMBORI (Crispy Seaweed)</v>
      </c>
      <c r="D699" s="499">
        <v>1</v>
      </c>
      <c r="E699" s="505" t="str">
        <f>IFERROR(VLOOKUP(B699,[4]MasterSheet!$B$6:$N$144,10,),"N/a")</f>
        <v>g</v>
      </c>
      <c r="F699" s="506">
        <f>IFERROR(VLOOKUP(B699,MasterSheet!$B$6:$N$150,11,),"N/a")</f>
        <v>390.90909090909093</v>
      </c>
      <c r="G699" s="488">
        <f t="shared" si="178"/>
        <v>390.90909090909093</v>
      </c>
      <c r="H699" s="905"/>
      <c r="I699" s="905"/>
      <c r="J699" s="491">
        <f t="shared" si="179"/>
        <v>0</v>
      </c>
      <c r="K699" s="501">
        <f t="shared" si="180"/>
        <v>0</v>
      </c>
      <c r="L699" s="501">
        <f t="shared" si="181"/>
        <v>0</v>
      </c>
      <c r="M699" s="493"/>
      <c r="N699" s="507"/>
      <c r="O699" s="449"/>
    </row>
    <row r="700" spans="2:15" ht="14.25" hidden="1" customHeight="1" outlineLevel="1">
      <c r="B700" s="509" t="s">
        <v>567</v>
      </c>
      <c r="C700" s="15" t="str">
        <f>VLOOKUP(B700,CK!$B$8:$L$87,4,)</f>
        <v>Battering Powder Mix Solution(White)</v>
      </c>
      <c r="D700" s="510">
        <f>D693*0.2</f>
        <v>55.555555555555557</v>
      </c>
      <c r="E700" s="505" t="str">
        <f>VLOOKUP(B700,[4]CK!$B$8:$L$87,9,)</f>
        <v>g</v>
      </c>
      <c r="F700" s="506">
        <f>VLOOKUP(B700,CK!$B$8:$L$87,10,)</f>
        <v>30.23</v>
      </c>
      <c r="G700" s="488">
        <f t="shared" si="178"/>
        <v>1679.4444444444446</v>
      </c>
      <c r="H700" s="905"/>
      <c r="I700" s="905"/>
      <c r="J700" s="491">
        <f t="shared" si="179"/>
        <v>0</v>
      </c>
      <c r="K700" s="501">
        <f t="shared" si="180"/>
        <v>0</v>
      </c>
      <c r="L700" s="501">
        <f t="shared" si="181"/>
        <v>0</v>
      </c>
      <c r="M700" s="493"/>
      <c r="N700" s="507"/>
      <c r="O700" s="449"/>
    </row>
    <row r="701" spans="2:15" ht="14.25" hidden="1" customHeight="1" outlineLevel="1">
      <c r="B701" s="509" t="s">
        <v>1413</v>
      </c>
      <c r="C701" s="15" t="str">
        <f>VLOOKUP(B701,CK!$B$8:$L$87,4,)</f>
        <v xml:space="preserve">Tteokbokki </v>
      </c>
      <c r="D701" s="510">
        <v>163</v>
      </c>
      <c r="E701" s="505" t="str">
        <f>VLOOKUP(B701,[4]CK!$B$8:$L$87,9,)</f>
        <v>g</v>
      </c>
      <c r="F701" s="506">
        <f>VLOOKUP(B701,CK!$B$8:$L$87,10,)</f>
        <v>26.910124664994086</v>
      </c>
      <c r="G701" s="488">
        <f t="shared" si="178"/>
        <v>4386.3503203940363</v>
      </c>
      <c r="H701" s="905"/>
      <c r="I701" s="905"/>
      <c r="J701" s="491">
        <f t="shared" si="179"/>
        <v>0</v>
      </c>
      <c r="K701" s="501">
        <f t="shared" si="180"/>
        <v>0</v>
      </c>
      <c r="L701" s="501">
        <f t="shared" si="181"/>
        <v>0</v>
      </c>
      <c r="M701" s="493"/>
      <c r="N701" s="507"/>
      <c r="O701" s="449"/>
    </row>
    <row r="702" spans="2:15" ht="14.25" hidden="1" customHeight="1" outlineLevel="1">
      <c r="B702" s="523" t="s">
        <v>1341</v>
      </c>
      <c r="C702" s="15" t="str">
        <f>IFERROR(VLOOKUP(B702,MasterSheet!$B$6:$N$521,3,),"n/a")</f>
        <v>BB.Q Papertray</v>
      </c>
      <c r="D702" s="510">
        <v>1</v>
      </c>
      <c r="E702" s="505" t="str">
        <f>IFERROR(VLOOKUP(B702,[4]MasterSheet!$B$6:$N$515,10,),"N/a")</f>
        <v>ea</v>
      </c>
      <c r="F702" s="506">
        <f>IFERROR(VLOOKUP(B702,MasterSheet!$B$6:$N$521,11,),"N/a")</f>
        <v>600</v>
      </c>
      <c r="G702" s="488">
        <f t="shared" si="178"/>
        <v>600</v>
      </c>
      <c r="H702" s="905"/>
      <c r="I702" s="905"/>
      <c r="J702" s="491">
        <f>D702*$J$690</f>
        <v>0</v>
      </c>
      <c r="K702" s="501"/>
      <c r="L702" s="501">
        <f t="shared" si="181"/>
        <v>0</v>
      </c>
      <c r="M702" s="493"/>
      <c r="N702" s="507"/>
      <c r="O702" s="449"/>
    </row>
    <row r="703" spans="2:15" ht="14.25" hidden="1" customHeight="1" outlineLevel="1">
      <c r="B703" s="523" t="s">
        <v>1337</v>
      </c>
      <c r="C703" s="15" t="str">
        <f>IFERROR(VLOOKUP(B703,MasterSheet!$B$6:$N$521,3,),"n/a")</f>
        <v>BB.Q FOODPAIL L</v>
      </c>
      <c r="D703" s="510">
        <v>1</v>
      </c>
      <c r="E703" s="505" t="str">
        <f>IFERROR(VLOOKUP(B703,[4]MasterSheet!$B$6:$N$515,10,),"N/a")</f>
        <v>ea</v>
      </c>
      <c r="F703" s="506">
        <f>IFERROR(VLOOKUP(B703,MasterSheet!$B$6:$N$521,11,),"N/a")</f>
        <v>1238</v>
      </c>
      <c r="G703" s="488">
        <f t="shared" si="178"/>
        <v>1238</v>
      </c>
      <c r="H703" s="905"/>
      <c r="I703" s="905"/>
      <c r="J703" s="491"/>
      <c r="K703" s="501">
        <f t="shared" ref="K703:K708" si="182">D703*$K$690</f>
        <v>0</v>
      </c>
      <c r="L703" s="501">
        <f t="shared" si="181"/>
        <v>0</v>
      </c>
      <c r="M703" s="493"/>
      <c r="N703" s="507"/>
      <c r="O703" s="449"/>
    </row>
    <row r="704" spans="2:15" ht="14.25" hidden="1" customHeight="1" outlineLevel="1">
      <c r="B704" s="523" t="s">
        <v>1365</v>
      </c>
      <c r="C704" s="15" t="str">
        <f>IFERROR(VLOOKUP(B704,MasterSheet!$B$6:$N$521,3,),"n/a")</f>
        <v>Drink Package(16oz)</v>
      </c>
      <c r="D704" s="510">
        <v>1</v>
      </c>
      <c r="E704" s="505" t="str">
        <f>IFERROR(VLOOKUP(B704,[4]MasterSheet!$B$6:$N$515,10,),"N/a")</f>
        <v>ea</v>
      </c>
      <c r="F704" s="506">
        <f>IFERROR(VLOOKUP(B704,MasterSheet!$B$6:$N$521,11,),"N/a")</f>
        <v>750</v>
      </c>
      <c r="G704" s="488">
        <f t="shared" si="178"/>
        <v>750</v>
      </c>
      <c r="H704" s="905"/>
      <c r="I704" s="905"/>
      <c r="J704" s="491">
        <f>D704*$J$690</f>
        <v>0</v>
      </c>
      <c r="K704" s="501">
        <f t="shared" si="182"/>
        <v>0</v>
      </c>
      <c r="L704" s="501">
        <f t="shared" si="181"/>
        <v>0</v>
      </c>
      <c r="M704" s="493"/>
      <c r="N704" s="507"/>
      <c r="O704" s="449"/>
    </row>
    <row r="705" spans="2:15" ht="14.25" hidden="1" customHeight="1" outlineLevel="1">
      <c r="B705" s="523" t="s">
        <v>1384</v>
      </c>
      <c r="C705" s="15" t="str">
        <f>IFERROR(VLOOKUP(B705,MasterSheet!$B$6:$N$521,3,),"n/a")</f>
        <v>DRINK PACKAGE LID(16OZ)</v>
      </c>
      <c r="D705" s="510">
        <v>1</v>
      </c>
      <c r="E705" s="505" t="str">
        <f>IFERROR(VLOOKUP(B705,[4]MasterSheet!$B$6:$N$515,10,),"N/a")</f>
        <v>ea</v>
      </c>
      <c r="F705" s="506">
        <f>IFERROR(VLOOKUP(B705,MasterSheet!$B$6:$N$521,11,),"N/a")</f>
        <v>200</v>
      </c>
      <c r="G705" s="488">
        <f t="shared" si="178"/>
        <v>200</v>
      </c>
      <c r="H705" s="905"/>
      <c r="I705" s="905"/>
      <c r="J705" s="491"/>
      <c r="K705" s="501">
        <f t="shared" si="182"/>
        <v>0</v>
      </c>
      <c r="L705" s="501">
        <f t="shared" si="181"/>
        <v>0</v>
      </c>
      <c r="M705" s="493"/>
      <c r="N705" s="507"/>
      <c r="O705" s="449"/>
    </row>
    <row r="706" spans="2:15" ht="14.25" hidden="1" customHeight="1" outlineLevel="1">
      <c r="B706" s="523" t="s">
        <v>1414</v>
      </c>
      <c r="C706" s="15" t="str">
        <f>IFERROR(VLOOKUP(B706,MasterSheet!$B$6:$N$521,3,),"n/a")</f>
        <v>PAPER BOWL PACKAGE (500ML)</v>
      </c>
      <c r="D706" s="510">
        <v>1</v>
      </c>
      <c r="E706" s="505" t="str">
        <f>IFERROR(VLOOKUP(B706,[4]MasterSheet!$B$6:$N$515,10,),"N/a")</f>
        <v>ea</v>
      </c>
      <c r="F706" s="506">
        <f>IFERROR(VLOOKUP(B706,MasterSheet!$B$6:$N$521,11,),"N/a")</f>
        <v>1164</v>
      </c>
      <c r="G706" s="488">
        <f t="shared" si="178"/>
        <v>1164</v>
      </c>
      <c r="H706" s="905"/>
      <c r="I706" s="905"/>
      <c r="J706" s="491">
        <f>D706*$J$690</f>
        <v>0</v>
      </c>
      <c r="K706" s="501">
        <f t="shared" si="182"/>
        <v>0</v>
      </c>
      <c r="L706" s="501">
        <f t="shared" si="181"/>
        <v>0</v>
      </c>
      <c r="M706" s="493"/>
      <c r="N706" s="507"/>
      <c r="O706" s="449"/>
    </row>
    <row r="707" spans="2:15" ht="14.25" hidden="1" customHeight="1" outlineLevel="1">
      <c r="B707" s="523" t="s">
        <v>1415</v>
      </c>
      <c r="C707" s="15" t="str">
        <f>IFERROR(VLOOKUP(B707,MasterSheet!$B$6:$N$521,3,),"n/a")</f>
        <v>PAPER BOWL PACKAGE (500ML) LID</v>
      </c>
      <c r="D707" s="510">
        <v>1</v>
      </c>
      <c r="E707" s="505" t="str">
        <f>IFERROR(VLOOKUP(B707,[4]MasterSheet!$B$6:$N$515,10,),"N/a")</f>
        <v>ea</v>
      </c>
      <c r="F707" s="506">
        <f>IFERROR(VLOOKUP(B707,MasterSheet!$B$6:$N$521,11,),"N/a")</f>
        <v>428</v>
      </c>
      <c r="G707" s="488">
        <f t="shared" si="178"/>
        <v>428</v>
      </c>
      <c r="H707" s="905"/>
      <c r="I707" s="905"/>
      <c r="J707" s="491">
        <f>D707*$J$690</f>
        <v>0</v>
      </c>
      <c r="K707" s="501">
        <f t="shared" si="182"/>
        <v>0</v>
      </c>
      <c r="L707" s="501">
        <f t="shared" si="181"/>
        <v>0</v>
      </c>
      <c r="M707" s="493"/>
      <c r="N707" s="507"/>
      <c r="O707" s="449"/>
    </row>
    <row r="708" spans="2:15" ht="14.65" hidden="1" customHeight="1" outlineLevel="1" thickBot="1">
      <c r="B708" s="524" t="s">
        <v>1150</v>
      </c>
      <c r="C708" s="512" t="str">
        <f>IFERROR(VLOOKUP(B708,MasterSheet!$B$6:$N$421,3,),"n/a")</f>
        <v>PARCHMENT PAPER / WRAPPING RICE</v>
      </c>
      <c r="D708" s="513">
        <v>1</v>
      </c>
      <c r="E708" s="514" t="str">
        <f>IFERROR(VLOOKUP(B708,[4]MasterSheet!B485:N1076,10,),"N/a")</f>
        <v>N/a</v>
      </c>
      <c r="F708" s="515">
        <f>IFERROR(VLOOKUP(B708,MasterSheet!$B$6:$N$421,11,),"N/a")</f>
        <v>216.45</v>
      </c>
      <c r="G708" s="516">
        <f t="shared" si="178"/>
        <v>216.45</v>
      </c>
      <c r="H708" s="916"/>
      <c r="I708" s="916"/>
      <c r="J708" s="517">
        <f>D708*$J$690</f>
        <v>0</v>
      </c>
      <c r="K708" s="518">
        <f t="shared" si="182"/>
        <v>0</v>
      </c>
      <c r="L708" s="518">
        <f>SUM(J708:K708)</f>
        <v>0</v>
      </c>
      <c r="M708" s="519"/>
      <c r="N708" s="520"/>
      <c r="O708" s="449"/>
    </row>
    <row r="709" spans="2:15" collapsed="1">
      <c r="B709" s="219" t="s">
        <v>1479</v>
      </c>
      <c r="C709" s="15" t="s">
        <v>1478</v>
      </c>
      <c r="D709" s="184">
        <f>E709*(1+$E$8)</f>
        <v>73700</v>
      </c>
      <c r="E709" s="184">
        <v>67000</v>
      </c>
      <c r="F709" s="174">
        <f>H712</f>
        <v>23263.028785544408</v>
      </c>
      <c r="G709" s="489">
        <f>I712</f>
        <v>24101.028785544408</v>
      </c>
      <c r="H709" s="500">
        <f>F709/E709</f>
        <v>0.34720938485887176</v>
      </c>
      <c r="I709" s="500">
        <f>G709/E709</f>
        <v>0.35971684754543892</v>
      </c>
      <c r="J709" s="501">
        <f>VLOOKUP(B709,'SALES MIX'!B14:J104,4)</f>
        <v>4</v>
      </c>
      <c r="K709" s="501">
        <f>VLOOKUP(B709,'SALES MIX'!B14:J104,5)</f>
        <v>1</v>
      </c>
      <c r="L709" s="221">
        <f>((F709*J709)+(G709*K709))/((J709+K709)*E709)</f>
        <v>0.34971087739618517</v>
      </c>
      <c r="M709" s="493"/>
      <c r="N709" s="493"/>
      <c r="O709" s="449"/>
    </row>
    <row r="710" spans="2:15" ht="14.65" hidden="1" customHeight="1" outlineLevel="1" thickTop="1">
      <c r="B710" s="913" t="s">
        <v>608</v>
      </c>
      <c r="C710" s="914" t="s">
        <v>1305</v>
      </c>
      <c r="D710" s="915" t="s">
        <v>1306</v>
      </c>
      <c r="E710" s="915" t="s">
        <v>60</v>
      </c>
      <c r="F710" s="915" t="s">
        <v>615</v>
      </c>
      <c r="G710" s="915" t="s">
        <v>755</v>
      </c>
      <c r="H710" s="907" t="s">
        <v>1312</v>
      </c>
      <c r="I710" s="907"/>
      <c r="J710" s="907" t="s">
        <v>1319</v>
      </c>
      <c r="K710" s="907"/>
      <c r="L710" s="908" t="s">
        <v>1313</v>
      </c>
      <c r="M710" s="907" t="s">
        <v>912</v>
      </c>
      <c r="N710" s="917"/>
      <c r="O710" s="449"/>
    </row>
    <row r="711" spans="2:15" ht="14.65" hidden="1" customHeight="1" outlineLevel="1" thickBot="1">
      <c r="B711" s="894"/>
      <c r="C711" s="896"/>
      <c r="D711" s="898"/>
      <c r="E711" s="898"/>
      <c r="F711" s="898"/>
      <c r="G711" s="898"/>
      <c r="H711" s="502" t="s">
        <v>1309</v>
      </c>
      <c r="I711" s="502" t="s">
        <v>1308</v>
      </c>
      <c r="J711" s="502" t="s">
        <v>1309</v>
      </c>
      <c r="K711" s="502" t="s">
        <v>1308</v>
      </c>
      <c r="L711" s="901"/>
      <c r="M711" s="903"/>
      <c r="N711" s="904"/>
      <c r="O711" s="449"/>
    </row>
    <row r="712" spans="2:15" ht="14.25" hidden="1" customHeight="1" outlineLevel="1">
      <c r="B712" s="504" t="s">
        <v>631</v>
      </c>
      <c r="C712" s="15" t="str">
        <f>IFERROR(VLOOKUP(B712,MasterSheet!$B$6:$N$150,3,),"n/a")</f>
        <v>Injected Whole Chicken (1.25kg)</v>
      </c>
      <c r="D712" s="499">
        <f>1250/9*2</f>
        <v>277.77777777777777</v>
      </c>
      <c r="E712" s="505" t="str">
        <f>IFERROR(VLOOKUP(B712,[4]MasterSheet!$B$6:$N$144,10,),"N/a")</f>
        <v>g</v>
      </c>
      <c r="F712" s="506">
        <f>IFERROR(VLOOKUP(B712,MasterSheet!$B$6:$N$150,11,),"N/a")</f>
        <v>34.314223999999996</v>
      </c>
      <c r="G712" s="488">
        <f>IFERROR(D712*F712,"_")</f>
        <v>9531.728888888887</v>
      </c>
      <c r="H712" s="905">
        <f>SUM(G712:G720,G722,G726,G724,G725)</f>
        <v>23263.028785544408</v>
      </c>
      <c r="I712" s="905">
        <f>SUM(G712:G719,G721,G722,G726,G723,G725,G724)</f>
        <v>24101.028785544408</v>
      </c>
      <c r="J712" s="491">
        <f>D712*$J$709</f>
        <v>1111.1111111111111</v>
      </c>
      <c r="K712" s="501">
        <f>D712*$K$709</f>
        <v>277.77777777777777</v>
      </c>
      <c r="L712" s="501">
        <f>SUM(J712:K712)</f>
        <v>1388.8888888888889</v>
      </c>
      <c r="M712" s="493"/>
      <c r="N712" s="507"/>
      <c r="O712" s="449"/>
    </row>
    <row r="713" spans="2:15" ht="14.25" hidden="1" customHeight="1" outlineLevel="1">
      <c r="B713" s="508" t="s">
        <v>690</v>
      </c>
      <c r="C713" s="15" t="str">
        <f>IFERROR(VLOOKUP(B713,MasterSheet!$B$6:$N$150,3,),"n/a")</f>
        <v xml:space="preserve">Cheese Taste Seasoning Mix </v>
      </c>
      <c r="D713" s="499">
        <f>D712*4%</f>
        <v>11.111111111111111</v>
      </c>
      <c r="E713" s="505" t="str">
        <f>IFERROR(VLOOKUP(B713,[4]MasterSheet!$B$6:$N$144,10,),"N/a")</f>
        <v>g</v>
      </c>
      <c r="F713" s="506">
        <f>IFERROR(VLOOKUP(B713,MasterSheet!$B$6:$N$150,11,),"N/a")</f>
        <v>294.48979591836735</v>
      </c>
      <c r="G713" s="488">
        <f t="shared" ref="G713:G726" si="183">IFERROR(D713*F713,"_")</f>
        <v>3272.1088435374149</v>
      </c>
      <c r="H713" s="905"/>
      <c r="I713" s="905"/>
      <c r="J713" s="491">
        <f t="shared" ref="J713:J719" si="184">D713*$J$709</f>
        <v>44.444444444444443</v>
      </c>
      <c r="K713" s="501">
        <f t="shared" ref="K713:K725" si="185">D713*$K$709</f>
        <v>11.111111111111111</v>
      </c>
      <c r="L713" s="501">
        <f t="shared" ref="L713:L725" si="186">SUM(J713:K713)</f>
        <v>55.555555555555557</v>
      </c>
      <c r="M713" s="493"/>
      <c r="N713" s="507"/>
      <c r="O713" s="449"/>
    </row>
    <row r="714" spans="2:15" ht="14.25" hidden="1" customHeight="1" outlineLevel="1">
      <c r="B714" s="508" t="s">
        <v>999</v>
      </c>
      <c r="C714" s="15" t="str">
        <f>IFERROR(VLOOKUP(B714,MasterSheet!$B$6:$N$150,3,),"n/a")</f>
        <v>Palm Oil</v>
      </c>
      <c r="D714" s="499">
        <f>D712*0.1</f>
        <v>27.777777777777779</v>
      </c>
      <c r="E714" s="505" t="str">
        <f>IFERROR(VLOOKUP(B714,[4]MasterSheet!$B$6:$N$144,10,),"N/a")</f>
        <v>g</v>
      </c>
      <c r="F714" s="506">
        <f>IFERROR(VLOOKUP(B714,MasterSheet!$B$6:$N$150,11,),"N/a")</f>
        <v>25.580404040404041</v>
      </c>
      <c r="G714" s="488">
        <f t="shared" si="183"/>
        <v>710.56677890011224</v>
      </c>
      <c r="H714" s="905"/>
      <c r="I714" s="905"/>
      <c r="J714" s="491">
        <f t="shared" si="184"/>
        <v>111.11111111111111</v>
      </c>
      <c r="K714" s="501">
        <f t="shared" si="185"/>
        <v>27.777777777777779</v>
      </c>
      <c r="L714" s="501">
        <f t="shared" si="186"/>
        <v>138.88888888888889</v>
      </c>
      <c r="M714" s="493"/>
      <c r="N714" s="507"/>
      <c r="O714" s="449"/>
    </row>
    <row r="715" spans="2:15" ht="14.25" hidden="1" customHeight="1" outlineLevel="1">
      <c r="B715" s="508" t="s">
        <v>804</v>
      </c>
      <c r="C715" s="15" t="str">
        <f>IFERROR(VLOOKUP(B715,MasterSheet!$B$6:$N$150,3,),"n/a")</f>
        <v>Lemon</v>
      </c>
      <c r="D715" s="499">
        <v>0.1</v>
      </c>
      <c r="E715" s="505" t="str">
        <f>IFERROR(VLOOKUP(B715,[4]MasterSheet!$B$6:$N$144,10,),"N/a")</f>
        <v>ea</v>
      </c>
      <c r="F715" s="506">
        <f>IFERROR(VLOOKUP(B715,MasterSheet!$B$6:$N$150,11,),"N/a")</f>
        <v>35.714285714285715</v>
      </c>
      <c r="G715" s="488">
        <f t="shared" si="183"/>
        <v>3.5714285714285716</v>
      </c>
      <c r="H715" s="905"/>
      <c r="I715" s="905"/>
      <c r="J715" s="491">
        <f t="shared" si="184"/>
        <v>0.4</v>
      </c>
      <c r="K715" s="501">
        <f t="shared" si="185"/>
        <v>0.1</v>
      </c>
      <c r="L715" s="501">
        <f t="shared" si="186"/>
        <v>0.5</v>
      </c>
      <c r="M715" s="493"/>
      <c r="N715" s="507"/>
      <c r="O715" s="449"/>
    </row>
    <row r="716" spans="2:15" ht="14.25" hidden="1" customHeight="1" outlineLevel="1">
      <c r="B716" s="508" t="s">
        <v>785</v>
      </c>
      <c r="C716" s="15" t="str">
        <f>IFERROR(VLOOKUP(B716,MasterSheet!$B$6:$N$150,3,),"n/a")</f>
        <v xml:space="preserve">Black Tea (w/water) </v>
      </c>
      <c r="D716" s="499">
        <v>250</v>
      </c>
      <c r="E716" s="505" t="str">
        <f>IFERROR(VLOOKUP(B716,[4]MasterSheet!$B$6:$N$144,10,),"N/a")</f>
        <v>g</v>
      </c>
      <c r="F716" s="506">
        <f>IFERROR(VLOOKUP(B716,MasterSheet!$B$6:$N$150,11,),"N/a")</f>
        <v>1.6818181818181819</v>
      </c>
      <c r="G716" s="488">
        <f t="shared" si="183"/>
        <v>420.4545454545455</v>
      </c>
      <c r="H716" s="905"/>
      <c r="I716" s="905"/>
      <c r="J716" s="491">
        <f t="shared" si="184"/>
        <v>1000</v>
      </c>
      <c r="K716" s="501">
        <f t="shared" si="185"/>
        <v>250</v>
      </c>
      <c r="L716" s="501">
        <f t="shared" si="186"/>
        <v>1250</v>
      </c>
      <c r="M716" s="493"/>
      <c r="N716" s="507"/>
      <c r="O716" s="449"/>
    </row>
    <row r="717" spans="2:15" ht="14.25" hidden="1" customHeight="1" outlineLevel="1">
      <c r="B717" s="508" t="s">
        <v>1029</v>
      </c>
      <c r="C717" s="15" t="str">
        <f>IFERROR(VLOOKUP(B717,MasterSheet!$B$6:$N$150,3,),"n/a")</f>
        <v>GIMBORI (Crispy Seaweed)</v>
      </c>
      <c r="D717" s="499">
        <v>1</v>
      </c>
      <c r="E717" s="505" t="str">
        <f>IFERROR(VLOOKUP(B717,[4]MasterSheet!$B$6:$N$144,10,),"N/a")</f>
        <v>g</v>
      </c>
      <c r="F717" s="506">
        <f>IFERROR(VLOOKUP(B717,MasterSheet!$B$6:$N$150,11,),"N/a")</f>
        <v>390.90909090909093</v>
      </c>
      <c r="G717" s="488">
        <f t="shared" si="183"/>
        <v>390.90909090909093</v>
      </c>
      <c r="H717" s="905"/>
      <c r="I717" s="905"/>
      <c r="J717" s="491">
        <f t="shared" si="184"/>
        <v>4</v>
      </c>
      <c r="K717" s="501">
        <f t="shared" si="185"/>
        <v>1</v>
      </c>
      <c r="L717" s="501">
        <f t="shared" si="186"/>
        <v>5</v>
      </c>
      <c r="M717" s="493"/>
      <c r="N717" s="507"/>
      <c r="O717" s="449"/>
    </row>
    <row r="718" spans="2:15" ht="14.25" hidden="1" customHeight="1" outlineLevel="1">
      <c r="B718" s="509" t="s">
        <v>568</v>
      </c>
      <c r="C718" s="15" t="str">
        <f>VLOOKUP(B718,CK!$B$8:$L$87,4,)</f>
        <v>Battering Powder Mix C Solution(Yellow)</v>
      </c>
      <c r="D718" s="510">
        <f>D712*0.21</f>
        <v>58.333333333333329</v>
      </c>
      <c r="E718" s="505" t="str">
        <f>VLOOKUP(B718,[4]CK!$B$8:$L$87,9,)</f>
        <v>g</v>
      </c>
      <c r="F718" s="506">
        <f>VLOOKUP(B718,CK!$B$8:$L$87,10,)</f>
        <v>23.80952380952381</v>
      </c>
      <c r="G718" s="488">
        <f t="shared" si="183"/>
        <v>1388.8888888888889</v>
      </c>
      <c r="H718" s="905"/>
      <c r="I718" s="905"/>
      <c r="J718" s="491">
        <f t="shared" si="184"/>
        <v>233.33333333333331</v>
      </c>
      <c r="K718" s="501">
        <f t="shared" si="185"/>
        <v>58.333333333333329</v>
      </c>
      <c r="L718" s="501">
        <f t="shared" si="186"/>
        <v>291.66666666666663</v>
      </c>
      <c r="M718" s="493"/>
      <c r="N718" s="507"/>
      <c r="O718" s="449"/>
    </row>
    <row r="719" spans="2:15" ht="14.25" hidden="1" customHeight="1" outlineLevel="1">
      <c r="B719" s="509" t="s">
        <v>1417</v>
      </c>
      <c r="C719" s="15" t="str">
        <f>VLOOKUP(B719,CK!$B$8:$L$87,4,)</f>
        <v xml:space="preserve">Tteokbokki </v>
      </c>
      <c r="D719" s="510">
        <v>163</v>
      </c>
      <c r="E719" s="505" t="str">
        <f>VLOOKUP(B719,[4]CK!$B$8:$L$87,9,)</f>
        <v>g</v>
      </c>
      <c r="F719" s="506">
        <f>VLOOKUP(B719,CK!$B$8:$L$87,10,)</f>
        <v>26.910124664994086</v>
      </c>
      <c r="G719" s="488">
        <f t="shared" si="183"/>
        <v>4386.3503203940363</v>
      </c>
      <c r="H719" s="905"/>
      <c r="I719" s="905"/>
      <c r="J719" s="491">
        <f t="shared" si="184"/>
        <v>652</v>
      </c>
      <c r="K719" s="501">
        <f t="shared" si="185"/>
        <v>163</v>
      </c>
      <c r="L719" s="501">
        <f t="shared" si="186"/>
        <v>815</v>
      </c>
      <c r="M719" s="493"/>
      <c r="N719" s="507"/>
      <c r="O719" s="449"/>
    </row>
    <row r="720" spans="2:15" ht="14.25" hidden="1" customHeight="1" outlineLevel="1">
      <c r="B720" s="523" t="s">
        <v>1341</v>
      </c>
      <c r="C720" s="15" t="str">
        <f>IFERROR(VLOOKUP(B720,MasterSheet!$B$6:$N$521,3,),"n/a")</f>
        <v>BB.Q Papertray</v>
      </c>
      <c r="D720" s="510">
        <v>1</v>
      </c>
      <c r="E720" s="505" t="str">
        <f>IFERROR(VLOOKUP(B720,[4]MasterSheet!$B$6:$N$515,10,),"N/a")</f>
        <v>ea</v>
      </c>
      <c r="F720" s="506">
        <f>IFERROR(VLOOKUP(B720,MasterSheet!$B$6:$N$521,11,),"N/a")</f>
        <v>600</v>
      </c>
      <c r="G720" s="488">
        <f t="shared" si="183"/>
        <v>600</v>
      </c>
      <c r="H720" s="905"/>
      <c r="I720" s="905"/>
      <c r="J720" s="491">
        <f>D720*$J$709</f>
        <v>4</v>
      </c>
      <c r="K720" s="501"/>
      <c r="L720" s="501">
        <f t="shared" si="186"/>
        <v>4</v>
      </c>
      <c r="M720" s="493"/>
      <c r="N720" s="507"/>
      <c r="O720" s="449"/>
    </row>
    <row r="721" spans="2:15" ht="14.25" hidden="1" customHeight="1" outlineLevel="1">
      <c r="B721" s="523" t="s">
        <v>1337</v>
      </c>
      <c r="C721" s="15" t="str">
        <f>IFERROR(VLOOKUP(B721,MasterSheet!$B$6:$N$521,3,),"n/a")</f>
        <v>BB.Q FOODPAIL L</v>
      </c>
      <c r="D721" s="510">
        <v>1</v>
      </c>
      <c r="E721" s="505" t="str">
        <f>IFERROR(VLOOKUP(B721,[4]MasterSheet!$B$6:$N$515,10,),"N/a")</f>
        <v>ea</v>
      </c>
      <c r="F721" s="506">
        <f>IFERROR(VLOOKUP(B721,MasterSheet!$B$6:$N$521,11,),"N/a")</f>
        <v>1238</v>
      </c>
      <c r="G721" s="488">
        <f t="shared" si="183"/>
        <v>1238</v>
      </c>
      <c r="H721" s="905"/>
      <c r="I721" s="905"/>
      <c r="J721" s="491"/>
      <c r="K721" s="501">
        <f t="shared" si="185"/>
        <v>1</v>
      </c>
      <c r="L721" s="501">
        <f t="shared" si="186"/>
        <v>1</v>
      </c>
      <c r="M721" s="493"/>
      <c r="N721" s="507"/>
      <c r="O721" s="449"/>
    </row>
    <row r="722" spans="2:15" ht="14.25" hidden="1" customHeight="1" outlineLevel="1">
      <c r="B722" s="523" t="s">
        <v>1365</v>
      </c>
      <c r="C722" s="15" t="str">
        <f>IFERROR(VLOOKUP(B722,MasterSheet!$B$6:$N$521,3,),"n/a")</f>
        <v>Drink Package(16oz)</v>
      </c>
      <c r="D722" s="510">
        <v>1</v>
      </c>
      <c r="E722" s="505" t="str">
        <f>IFERROR(VLOOKUP(B722,[4]MasterSheet!$B$6:$N$515,10,),"N/a")</f>
        <v>ea</v>
      </c>
      <c r="F722" s="506">
        <f>IFERROR(VLOOKUP(B722,MasterSheet!$B$6:$N$521,11,),"N/a")</f>
        <v>750</v>
      </c>
      <c r="G722" s="488">
        <f t="shared" si="183"/>
        <v>750</v>
      </c>
      <c r="H722" s="905"/>
      <c r="I722" s="905"/>
      <c r="J722" s="491">
        <f>D722*$J$709</f>
        <v>4</v>
      </c>
      <c r="K722" s="501">
        <f t="shared" si="185"/>
        <v>1</v>
      </c>
      <c r="L722" s="501">
        <f t="shared" si="186"/>
        <v>5</v>
      </c>
      <c r="M722" s="493"/>
      <c r="N722" s="507"/>
      <c r="O722" s="449"/>
    </row>
    <row r="723" spans="2:15" ht="14.25" hidden="1" customHeight="1" outlineLevel="1">
      <c r="B723" s="523" t="s">
        <v>1384</v>
      </c>
      <c r="C723" s="15" t="str">
        <f>IFERROR(VLOOKUP(B723,MasterSheet!$B$6:$N$521,3,),"n/a")</f>
        <v>DRINK PACKAGE LID(16OZ)</v>
      </c>
      <c r="D723" s="510">
        <v>1</v>
      </c>
      <c r="E723" s="505" t="str">
        <f>IFERROR(VLOOKUP(B723,[4]MasterSheet!$B$6:$N$515,10,),"N/a")</f>
        <v>ea</v>
      </c>
      <c r="F723" s="506">
        <f>IFERROR(VLOOKUP(B723,MasterSheet!$B$6:$N$521,11,),"N/a")</f>
        <v>200</v>
      </c>
      <c r="G723" s="488">
        <f t="shared" si="183"/>
        <v>200</v>
      </c>
      <c r="H723" s="905"/>
      <c r="I723" s="905"/>
      <c r="J723" s="491"/>
      <c r="K723" s="501">
        <f t="shared" si="185"/>
        <v>1</v>
      </c>
      <c r="L723" s="501">
        <f t="shared" si="186"/>
        <v>1</v>
      </c>
      <c r="M723" s="493"/>
      <c r="N723" s="507"/>
      <c r="O723" s="449"/>
    </row>
    <row r="724" spans="2:15" ht="14.25" hidden="1" customHeight="1" outlineLevel="1">
      <c r="B724" s="523" t="s">
        <v>1414</v>
      </c>
      <c r="C724" s="15" t="str">
        <f>IFERROR(VLOOKUP(B724,MasterSheet!$B$6:$N$521,3,),"n/a")</f>
        <v>PAPER BOWL PACKAGE (500ML)</v>
      </c>
      <c r="D724" s="510">
        <v>1</v>
      </c>
      <c r="E724" s="505" t="str">
        <f>IFERROR(VLOOKUP(B724,[4]MasterSheet!$B$6:$N$515,10,),"N/a")</f>
        <v>ea</v>
      </c>
      <c r="F724" s="506">
        <f>IFERROR(VLOOKUP(B724,MasterSheet!$B$6:$N$521,11,),"N/a")</f>
        <v>1164</v>
      </c>
      <c r="G724" s="488">
        <f t="shared" si="183"/>
        <v>1164</v>
      </c>
      <c r="H724" s="905"/>
      <c r="I724" s="905"/>
      <c r="J724" s="491">
        <f>D724*$J$709</f>
        <v>4</v>
      </c>
      <c r="K724" s="501">
        <f t="shared" si="185"/>
        <v>1</v>
      </c>
      <c r="L724" s="501">
        <f t="shared" si="186"/>
        <v>5</v>
      </c>
      <c r="M724" s="493"/>
      <c r="N724" s="507"/>
      <c r="O724" s="449"/>
    </row>
    <row r="725" spans="2:15" ht="14.25" hidden="1" customHeight="1" outlineLevel="1">
      <c r="B725" s="523" t="s">
        <v>1415</v>
      </c>
      <c r="C725" s="15" t="str">
        <f>IFERROR(VLOOKUP(B725,MasterSheet!$B$6:$N$521,3,),"n/a")</f>
        <v>PAPER BOWL PACKAGE (500ML) LID</v>
      </c>
      <c r="D725" s="510">
        <v>1</v>
      </c>
      <c r="E725" s="505" t="str">
        <f>IFERROR(VLOOKUP(B725,[4]MasterSheet!$B$6:$N$515,10,),"N/a")</f>
        <v>ea</v>
      </c>
      <c r="F725" s="506">
        <f>IFERROR(VLOOKUP(B725,MasterSheet!$B$6:$N$521,11,),"N/a")</f>
        <v>428</v>
      </c>
      <c r="G725" s="488">
        <f t="shared" si="183"/>
        <v>428</v>
      </c>
      <c r="H725" s="905"/>
      <c r="I725" s="905"/>
      <c r="J725" s="491">
        <f>D725*$J$709</f>
        <v>4</v>
      </c>
      <c r="K725" s="501">
        <f t="shared" si="185"/>
        <v>1</v>
      </c>
      <c r="L725" s="501">
        <f t="shared" si="186"/>
        <v>5</v>
      </c>
      <c r="M725" s="493"/>
      <c r="N725" s="507"/>
      <c r="O725" s="449"/>
    </row>
    <row r="726" spans="2:15" ht="14.65" hidden="1" customHeight="1" outlineLevel="1" thickBot="1">
      <c r="B726" s="524" t="s">
        <v>1150</v>
      </c>
      <c r="C726" s="512" t="str">
        <f>IFERROR(VLOOKUP(B726,MasterSheet!$B$6:$N$421,3,),"n/a")</f>
        <v>PARCHMENT PAPER / WRAPPING RICE</v>
      </c>
      <c r="D726" s="513">
        <v>1</v>
      </c>
      <c r="E726" s="514" t="str">
        <f>IFERROR(VLOOKUP(B726,[4]MasterSheet!B504:N1095,10,),"N/a")</f>
        <v>N/a</v>
      </c>
      <c r="F726" s="515">
        <f>IFERROR(VLOOKUP(B726,MasterSheet!$B$6:$N$421,11,),"N/a")</f>
        <v>216.45</v>
      </c>
      <c r="G726" s="516">
        <f t="shared" si="183"/>
        <v>216.45</v>
      </c>
      <c r="H726" s="916"/>
      <c r="I726" s="916"/>
      <c r="J726" s="517">
        <f>D726*$J$709</f>
        <v>4</v>
      </c>
      <c r="K726" s="518">
        <f>D726*$K$709</f>
        <v>1</v>
      </c>
      <c r="L726" s="518">
        <f>SUM(J726:K726)</f>
        <v>5</v>
      </c>
      <c r="M726" s="519"/>
      <c r="N726" s="520"/>
      <c r="O726" s="449"/>
    </row>
    <row r="727" spans="2:15" collapsed="1">
      <c r="B727" s="219" t="s">
        <v>1482</v>
      </c>
      <c r="C727" s="15" t="s">
        <v>1481</v>
      </c>
      <c r="D727" s="184">
        <f>E727*(1+$E$8)</f>
        <v>73700</v>
      </c>
      <c r="E727" s="184">
        <v>67000</v>
      </c>
      <c r="F727" s="174">
        <f>H730</f>
        <v>24225.220988183039</v>
      </c>
      <c r="G727" s="489">
        <f>I730</f>
        <v>25063.220988183039</v>
      </c>
      <c r="H727" s="500">
        <f>F727/E727</f>
        <v>0.36157046251019459</v>
      </c>
      <c r="I727" s="500">
        <f>G727/E727</f>
        <v>0.37407792519676175</v>
      </c>
      <c r="J727" s="501">
        <f>VLOOKUP(B727,'SALES MIX'!B14:J104,4)</f>
        <v>4</v>
      </c>
      <c r="K727" s="501">
        <f>VLOOKUP(B727,'SALES MIX'!B14:J104,5)</f>
        <v>1</v>
      </c>
      <c r="L727" s="221">
        <f>((F727*J727)+(G727*K727))/((J727+K727)*E727)</f>
        <v>0.364071955047508</v>
      </c>
      <c r="M727" s="493"/>
      <c r="N727" s="493"/>
      <c r="O727" s="449"/>
    </row>
    <row r="728" spans="2:15" ht="14.65" hidden="1" customHeight="1" outlineLevel="1" thickTop="1">
      <c r="B728" s="913" t="s">
        <v>608</v>
      </c>
      <c r="C728" s="914" t="s">
        <v>1305</v>
      </c>
      <c r="D728" s="915" t="s">
        <v>1306</v>
      </c>
      <c r="E728" s="915" t="s">
        <v>60</v>
      </c>
      <c r="F728" s="915" t="s">
        <v>615</v>
      </c>
      <c r="G728" s="915" t="s">
        <v>755</v>
      </c>
      <c r="H728" s="907" t="s">
        <v>1312</v>
      </c>
      <c r="I728" s="907"/>
      <c r="J728" s="907" t="s">
        <v>1319</v>
      </c>
      <c r="K728" s="907"/>
      <c r="L728" s="908" t="s">
        <v>1313</v>
      </c>
      <c r="M728" s="907" t="s">
        <v>912</v>
      </c>
      <c r="N728" s="917"/>
      <c r="O728" s="449"/>
    </row>
    <row r="729" spans="2:15" ht="14.65" hidden="1" customHeight="1" outlineLevel="1" thickBot="1">
      <c r="B729" s="894"/>
      <c r="C729" s="896"/>
      <c r="D729" s="898"/>
      <c r="E729" s="898"/>
      <c r="F729" s="898"/>
      <c r="G729" s="898"/>
      <c r="H729" s="502" t="s">
        <v>1309</v>
      </c>
      <c r="I729" s="502" t="s">
        <v>1308</v>
      </c>
      <c r="J729" s="502" t="s">
        <v>1309</v>
      </c>
      <c r="K729" s="502" t="s">
        <v>1308</v>
      </c>
      <c r="L729" s="901"/>
      <c r="M729" s="903"/>
      <c r="N729" s="904"/>
      <c r="O729" s="449"/>
    </row>
    <row r="730" spans="2:15" ht="14.25" hidden="1" customHeight="1" outlineLevel="1">
      <c r="B730" s="504" t="s">
        <v>631</v>
      </c>
      <c r="C730" s="15" t="str">
        <f>IFERROR(VLOOKUP(B730,MasterSheet!$B$6:$N$150,3,),"n/a")</f>
        <v>Injected Whole Chicken (1.25kg)</v>
      </c>
      <c r="D730" s="499">
        <f>1250/9*2</f>
        <v>277.77777777777777</v>
      </c>
      <c r="E730" s="505" t="str">
        <f>IFERROR(VLOOKUP(B730,[4]MasterSheet!$B$6:$N$144,10,),"N/a")</f>
        <v>g</v>
      </c>
      <c r="F730" s="506">
        <f>IFERROR(VLOOKUP(B730,MasterSheet!$B$6:$N$150,11,),"N/a")</f>
        <v>34.314223999999996</v>
      </c>
      <c r="G730" s="488">
        <f>IFERROR(D730*F730,"_")</f>
        <v>9531.728888888887</v>
      </c>
      <c r="H730" s="905">
        <f>SUM(G730:G738,G740,G744,G742,G743)</f>
        <v>24225.220988183039</v>
      </c>
      <c r="I730" s="905">
        <f>SUM(G730:G737,G739,G740,G744,G741,G743,G742)</f>
        <v>25063.220988183039</v>
      </c>
      <c r="J730" s="491">
        <f>D730*$J$727</f>
        <v>1111.1111111111111</v>
      </c>
      <c r="K730" s="501">
        <f>D730*$K$727</f>
        <v>277.77777777777777</v>
      </c>
      <c r="L730" s="501">
        <f>SUM(J730:K730)</f>
        <v>1388.8888888888889</v>
      </c>
      <c r="M730" s="493"/>
      <c r="N730" s="507"/>
      <c r="O730" s="449"/>
    </row>
    <row r="731" spans="2:15" ht="14.25" hidden="1" customHeight="1" outlineLevel="1">
      <c r="B731" s="508" t="s">
        <v>664</v>
      </c>
      <c r="C731" s="15" t="str">
        <f>IFERROR(VLOOKUP(B731,MasterSheet!$B$6:$N$150,3,),"n/a")</f>
        <v>Mala Hot Sauce</v>
      </c>
      <c r="D731" s="499">
        <f>D730*12%</f>
        <v>33.333333333333329</v>
      </c>
      <c r="E731" s="505" t="str">
        <f>IFERROR(VLOOKUP(B731,[4]MasterSheet!$B$6:$N$144,10,),"N/a")</f>
        <v>g</v>
      </c>
      <c r="F731" s="506">
        <f>IFERROR(VLOOKUP(B731,MasterSheet!$B$6:$N$150,11,),"N/a")</f>
        <v>125.26041666666667</v>
      </c>
      <c r="G731" s="488">
        <f t="shared" ref="G731:G744" si="187">IFERROR(D731*F731,"_")</f>
        <v>4175.3472222222217</v>
      </c>
      <c r="H731" s="905"/>
      <c r="I731" s="905"/>
      <c r="J731" s="491">
        <f t="shared" ref="J731:J743" si="188">D731*$J$727</f>
        <v>133.33333333333331</v>
      </c>
      <c r="K731" s="501">
        <f t="shared" ref="K731:K737" si="189">D731*$K$727</f>
        <v>33.333333333333329</v>
      </c>
      <c r="L731" s="501">
        <f t="shared" ref="L731:L744" si="190">SUM(J731:K731)</f>
        <v>166.66666666666663</v>
      </c>
      <c r="M731" s="493"/>
      <c r="N731" s="507"/>
      <c r="O731" s="449"/>
    </row>
    <row r="732" spans="2:15" ht="14.25" hidden="1" customHeight="1" outlineLevel="1">
      <c r="B732" s="508" t="s">
        <v>999</v>
      </c>
      <c r="C732" s="15" t="str">
        <f>IFERROR(VLOOKUP(B732,MasterSheet!$B$6:$N$150,3,),"n/a")</f>
        <v>Palm Oil</v>
      </c>
      <c r="D732" s="499">
        <f>D730*0.1</f>
        <v>27.777777777777779</v>
      </c>
      <c r="E732" s="505" t="str">
        <f>IFERROR(VLOOKUP(B732,[4]MasterSheet!$B$6:$N$144,10,),"N/a")</f>
        <v>g</v>
      </c>
      <c r="F732" s="506">
        <f>IFERROR(VLOOKUP(B732,MasterSheet!$B$6:$N$150,11,),"N/a")</f>
        <v>25.580404040404041</v>
      </c>
      <c r="G732" s="488">
        <f t="shared" si="187"/>
        <v>710.56677890011224</v>
      </c>
      <c r="H732" s="905"/>
      <c r="I732" s="905"/>
      <c r="J732" s="491">
        <f t="shared" si="188"/>
        <v>111.11111111111111</v>
      </c>
      <c r="K732" s="501">
        <f t="shared" si="189"/>
        <v>27.777777777777779</v>
      </c>
      <c r="L732" s="501">
        <f t="shared" si="190"/>
        <v>138.88888888888889</v>
      </c>
      <c r="M732" s="493"/>
      <c r="N732" s="507"/>
      <c r="O732" s="449"/>
    </row>
    <row r="733" spans="2:15" ht="14.25" hidden="1" customHeight="1" outlineLevel="1">
      <c r="B733" s="508" t="s">
        <v>1108</v>
      </c>
      <c r="C733" s="15" t="str">
        <f>IFERROR(VLOOKUP(B733,MasterSheet!$B$6:$N$150,3,),"n/a")</f>
        <v>Crushed Peanut</v>
      </c>
      <c r="D733" s="499">
        <v>1</v>
      </c>
      <c r="E733" s="505" t="str">
        <f>IFERROR(VLOOKUP(B733,[4]MasterSheet!$B$6:$N$144,10,),"N/a")</f>
        <v>g</v>
      </c>
      <c r="F733" s="506">
        <f>IFERROR(VLOOKUP(B733,MasterSheet!$B$6:$N$150,11,),"N/a")</f>
        <v>62.525252525252526</v>
      </c>
      <c r="G733" s="488">
        <f t="shared" si="187"/>
        <v>62.525252525252526</v>
      </c>
      <c r="H733" s="905"/>
      <c r="I733" s="905"/>
      <c r="J733" s="491">
        <f t="shared" si="188"/>
        <v>4</v>
      </c>
      <c r="K733" s="501">
        <f t="shared" si="189"/>
        <v>1</v>
      </c>
      <c r="L733" s="501">
        <f t="shared" si="190"/>
        <v>5</v>
      </c>
      <c r="M733" s="493"/>
      <c r="N733" s="507"/>
      <c r="O733" s="449"/>
    </row>
    <row r="734" spans="2:15" ht="14.25" hidden="1" customHeight="1" outlineLevel="1">
      <c r="B734" s="508" t="s">
        <v>785</v>
      </c>
      <c r="C734" s="15" t="str">
        <f>IFERROR(VLOOKUP(B734,MasterSheet!$B$6:$N$150,3,),"n/a")</f>
        <v xml:space="preserve">Black Tea (w/water) </v>
      </c>
      <c r="D734" s="499">
        <v>250</v>
      </c>
      <c r="E734" s="505" t="str">
        <f>IFERROR(VLOOKUP(B734,[4]MasterSheet!$B$6:$N$144,10,),"N/a")</f>
        <v>g</v>
      </c>
      <c r="F734" s="506">
        <f>IFERROR(VLOOKUP(B734,MasterSheet!$B$6:$N$150,11,),"N/a")</f>
        <v>1.6818181818181819</v>
      </c>
      <c r="G734" s="488">
        <f t="shared" si="187"/>
        <v>420.4545454545455</v>
      </c>
      <c r="H734" s="905"/>
      <c r="I734" s="905"/>
      <c r="J734" s="491">
        <f t="shared" si="188"/>
        <v>1000</v>
      </c>
      <c r="K734" s="501">
        <f t="shared" si="189"/>
        <v>250</v>
      </c>
      <c r="L734" s="501">
        <f t="shared" si="190"/>
        <v>1250</v>
      </c>
      <c r="M734" s="493"/>
      <c r="N734" s="507"/>
      <c r="O734" s="449"/>
    </row>
    <row r="735" spans="2:15" ht="14.25" hidden="1" customHeight="1" outlineLevel="1">
      <c r="B735" s="508" t="s">
        <v>1029</v>
      </c>
      <c r="C735" s="15" t="str">
        <f>IFERROR(VLOOKUP(B735,MasterSheet!$B$6:$N$150,3,),"n/a")</f>
        <v>GIMBORI (Crispy Seaweed)</v>
      </c>
      <c r="D735" s="499">
        <v>1</v>
      </c>
      <c r="E735" s="505" t="str">
        <f>IFERROR(VLOOKUP(B735,[4]MasterSheet!$B$6:$N$144,10,),"N/a")</f>
        <v>g</v>
      </c>
      <c r="F735" s="506">
        <f>IFERROR(VLOOKUP(B735,MasterSheet!$B$6:$N$150,11,),"N/a")</f>
        <v>390.90909090909093</v>
      </c>
      <c r="G735" s="488">
        <f t="shared" si="187"/>
        <v>390.90909090909093</v>
      </c>
      <c r="H735" s="905"/>
      <c r="I735" s="905"/>
      <c r="J735" s="491">
        <f t="shared" si="188"/>
        <v>4</v>
      </c>
      <c r="K735" s="501">
        <f t="shared" si="189"/>
        <v>1</v>
      </c>
      <c r="L735" s="501">
        <f t="shared" si="190"/>
        <v>5</v>
      </c>
      <c r="M735" s="493"/>
      <c r="N735" s="507"/>
      <c r="O735" s="449"/>
    </row>
    <row r="736" spans="2:15" ht="14.25" hidden="1" customHeight="1" outlineLevel="1">
      <c r="B736" s="509" t="s">
        <v>568</v>
      </c>
      <c r="C736" s="15" t="str">
        <f>VLOOKUP(B736,CK!$B$8:$L$87,4,)</f>
        <v>Battering Powder Mix C Solution(Yellow)</v>
      </c>
      <c r="D736" s="510">
        <f>D730*0.21</f>
        <v>58.333333333333329</v>
      </c>
      <c r="E736" s="505" t="str">
        <f>VLOOKUP(B736,[4]CK!$B$8:$L$87,9,)</f>
        <v>g</v>
      </c>
      <c r="F736" s="506">
        <f>VLOOKUP(B736,CK!$B$8:$L$87,10,)</f>
        <v>23.80952380952381</v>
      </c>
      <c r="G736" s="488">
        <f t="shared" si="187"/>
        <v>1388.8888888888889</v>
      </c>
      <c r="H736" s="905"/>
      <c r="I736" s="905"/>
      <c r="J736" s="491">
        <f t="shared" si="188"/>
        <v>233.33333333333331</v>
      </c>
      <c r="K736" s="501">
        <f t="shared" si="189"/>
        <v>58.333333333333329</v>
      </c>
      <c r="L736" s="501">
        <f t="shared" si="190"/>
        <v>291.66666666666663</v>
      </c>
      <c r="M736" s="493"/>
      <c r="N736" s="507"/>
      <c r="O736" s="449"/>
    </row>
    <row r="737" spans="2:15" ht="14.25" hidden="1" customHeight="1" outlineLevel="1">
      <c r="B737" s="509" t="s">
        <v>1413</v>
      </c>
      <c r="C737" s="15" t="str">
        <f>VLOOKUP(B737,CK!$B$8:$L$87,4,)</f>
        <v xml:space="preserve">Tteokbokki </v>
      </c>
      <c r="D737" s="510">
        <v>163</v>
      </c>
      <c r="E737" s="505" t="str">
        <f>VLOOKUP(B737,[4]CK!$B$8:$L$87,9,)</f>
        <v>g</v>
      </c>
      <c r="F737" s="506">
        <f>VLOOKUP(B737,CK!$B$8:$L$87,10,)</f>
        <v>26.910124664994086</v>
      </c>
      <c r="G737" s="488">
        <f t="shared" si="187"/>
        <v>4386.3503203940363</v>
      </c>
      <c r="H737" s="905"/>
      <c r="I737" s="905"/>
      <c r="J737" s="491">
        <f t="shared" si="188"/>
        <v>652</v>
      </c>
      <c r="K737" s="501">
        <f t="shared" si="189"/>
        <v>163</v>
      </c>
      <c r="L737" s="501">
        <f t="shared" si="190"/>
        <v>815</v>
      </c>
      <c r="M737" s="493"/>
      <c r="N737" s="507"/>
      <c r="O737" s="449"/>
    </row>
    <row r="738" spans="2:15" ht="14.25" hidden="1" customHeight="1" outlineLevel="1">
      <c r="B738" s="523" t="s">
        <v>1341</v>
      </c>
      <c r="C738" s="15" t="str">
        <f>IFERROR(VLOOKUP(B738,MasterSheet!$B$6:$N$521,3,),"n/a")</f>
        <v>BB.Q Papertray</v>
      </c>
      <c r="D738" s="510">
        <v>1</v>
      </c>
      <c r="E738" s="505" t="str">
        <f>IFERROR(VLOOKUP(B738,[4]MasterSheet!$B$6:$N$515,10,),"N/a")</f>
        <v>ea</v>
      </c>
      <c r="F738" s="506">
        <f>IFERROR(VLOOKUP(B738,MasterSheet!$B$6:$N$521,11,),"N/a")</f>
        <v>600</v>
      </c>
      <c r="G738" s="488">
        <f t="shared" si="187"/>
        <v>600</v>
      </c>
      <c r="H738" s="905"/>
      <c r="I738" s="905"/>
      <c r="J738" s="491">
        <f t="shared" si="188"/>
        <v>4</v>
      </c>
      <c r="K738" s="501"/>
      <c r="L738" s="501">
        <f t="shared" si="190"/>
        <v>4</v>
      </c>
      <c r="M738" s="493"/>
      <c r="N738" s="507"/>
      <c r="O738" s="449"/>
    </row>
    <row r="739" spans="2:15" ht="14.25" hidden="1" customHeight="1" outlineLevel="1">
      <c r="B739" s="523" t="s">
        <v>1337</v>
      </c>
      <c r="C739" s="15" t="str">
        <f>IFERROR(VLOOKUP(B739,MasterSheet!$B$6:$N$521,3,),"n/a")</f>
        <v>BB.Q FOODPAIL L</v>
      </c>
      <c r="D739" s="510">
        <v>1</v>
      </c>
      <c r="E739" s="505" t="str">
        <f>IFERROR(VLOOKUP(B739,[4]MasterSheet!$B$6:$N$515,10,),"N/a")</f>
        <v>ea</v>
      </c>
      <c r="F739" s="506">
        <f>IFERROR(VLOOKUP(B739,MasterSheet!$B$6:$N$521,11,),"N/a")</f>
        <v>1238</v>
      </c>
      <c r="G739" s="488">
        <f t="shared" si="187"/>
        <v>1238</v>
      </c>
      <c r="H739" s="905"/>
      <c r="I739" s="905"/>
      <c r="J739" s="491"/>
      <c r="K739" s="501">
        <f t="shared" ref="K739:K744" si="191">D739*$K$727</f>
        <v>1</v>
      </c>
      <c r="L739" s="501">
        <f t="shared" si="190"/>
        <v>1</v>
      </c>
      <c r="M739" s="493"/>
      <c r="N739" s="507"/>
      <c r="O739" s="449"/>
    </row>
    <row r="740" spans="2:15" ht="14.25" hidden="1" customHeight="1" outlineLevel="1">
      <c r="B740" s="523" t="s">
        <v>1365</v>
      </c>
      <c r="C740" s="15" t="str">
        <f>IFERROR(VLOOKUP(B740,MasterSheet!$B$6:$N$521,3,),"n/a")</f>
        <v>Drink Package(16oz)</v>
      </c>
      <c r="D740" s="510">
        <v>1</v>
      </c>
      <c r="E740" s="505" t="str">
        <f>IFERROR(VLOOKUP(B740,[4]MasterSheet!$B$6:$N$515,10,),"N/a")</f>
        <v>ea</v>
      </c>
      <c r="F740" s="506">
        <f>IFERROR(VLOOKUP(B740,MasterSheet!$B$6:$N$521,11,),"N/a")</f>
        <v>750</v>
      </c>
      <c r="G740" s="488">
        <f t="shared" si="187"/>
        <v>750</v>
      </c>
      <c r="H740" s="905"/>
      <c r="I740" s="905"/>
      <c r="J740" s="491">
        <f t="shared" si="188"/>
        <v>4</v>
      </c>
      <c r="K740" s="501">
        <f t="shared" si="191"/>
        <v>1</v>
      </c>
      <c r="L740" s="501">
        <f t="shared" si="190"/>
        <v>5</v>
      </c>
      <c r="M740" s="493"/>
      <c r="N740" s="507"/>
      <c r="O740" s="449"/>
    </row>
    <row r="741" spans="2:15" ht="14.25" hidden="1" customHeight="1" outlineLevel="1">
      <c r="B741" s="523" t="s">
        <v>1384</v>
      </c>
      <c r="C741" s="15" t="str">
        <f>IFERROR(VLOOKUP(B741,MasterSheet!$B$6:$N$521,3,),"n/a")</f>
        <v>DRINK PACKAGE LID(16OZ)</v>
      </c>
      <c r="D741" s="510">
        <v>1</v>
      </c>
      <c r="E741" s="505" t="str">
        <f>IFERROR(VLOOKUP(B741,[4]MasterSheet!$B$6:$N$515,10,),"N/a")</f>
        <v>ea</v>
      </c>
      <c r="F741" s="506">
        <f>IFERROR(VLOOKUP(B741,MasterSheet!$B$6:$N$521,11,),"N/a")</f>
        <v>200</v>
      </c>
      <c r="G741" s="488">
        <f t="shared" si="187"/>
        <v>200</v>
      </c>
      <c r="H741" s="905"/>
      <c r="I741" s="905"/>
      <c r="J741" s="491"/>
      <c r="K741" s="501">
        <f t="shared" si="191"/>
        <v>1</v>
      </c>
      <c r="L741" s="501">
        <f t="shared" si="190"/>
        <v>1</v>
      </c>
      <c r="M741" s="493"/>
      <c r="N741" s="507"/>
      <c r="O741" s="449"/>
    </row>
    <row r="742" spans="2:15" ht="14.25" hidden="1" customHeight="1" outlineLevel="1">
      <c r="B742" s="523" t="s">
        <v>1414</v>
      </c>
      <c r="C742" s="15" t="str">
        <f>IFERROR(VLOOKUP(B742,MasterSheet!$B$6:$N$521,3,),"n/a")</f>
        <v>PAPER BOWL PACKAGE (500ML)</v>
      </c>
      <c r="D742" s="510">
        <v>1</v>
      </c>
      <c r="E742" s="505" t="str">
        <f>IFERROR(VLOOKUP(B742,[4]MasterSheet!$B$6:$N$515,10,),"N/a")</f>
        <v>ea</v>
      </c>
      <c r="F742" s="506">
        <f>IFERROR(VLOOKUP(B742,MasterSheet!$B$6:$N$521,11,),"N/a")</f>
        <v>1164</v>
      </c>
      <c r="G742" s="488">
        <f t="shared" si="187"/>
        <v>1164</v>
      </c>
      <c r="H742" s="905"/>
      <c r="I742" s="905"/>
      <c r="J742" s="491">
        <f t="shared" si="188"/>
        <v>4</v>
      </c>
      <c r="K742" s="501">
        <f t="shared" si="191"/>
        <v>1</v>
      </c>
      <c r="L742" s="501">
        <f t="shared" si="190"/>
        <v>5</v>
      </c>
      <c r="M742" s="493"/>
      <c r="N742" s="507"/>
      <c r="O742" s="449"/>
    </row>
    <row r="743" spans="2:15" ht="14.25" hidden="1" customHeight="1" outlineLevel="1">
      <c r="B743" s="523" t="s">
        <v>1415</v>
      </c>
      <c r="C743" s="15" t="str">
        <f>IFERROR(VLOOKUP(B743,MasterSheet!$B$6:$N$521,3,),"n/a")</f>
        <v>PAPER BOWL PACKAGE (500ML) LID</v>
      </c>
      <c r="D743" s="510">
        <v>1</v>
      </c>
      <c r="E743" s="505" t="str">
        <f>IFERROR(VLOOKUP(B743,[4]MasterSheet!$B$6:$N$515,10,),"N/a")</f>
        <v>ea</v>
      </c>
      <c r="F743" s="506">
        <f>IFERROR(VLOOKUP(B743,MasterSheet!$B$6:$N$521,11,),"N/a")</f>
        <v>428</v>
      </c>
      <c r="G743" s="488">
        <f t="shared" si="187"/>
        <v>428</v>
      </c>
      <c r="H743" s="905"/>
      <c r="I743" s="905"/>
      <c r="J743" s="491">
        <f t="shared" si="188"/>
        <v>4</v>
      </c>
      <c r="K743" s="501">
        <f t="shared" si="191"/>
        <v>1</v>
      </c>
      <c r="L743" s="501">
        <f t="shared" si="190"/>
        <v>5</v>
      </c>
      <c r="M743" s="493"/>
      <c r="N743" s="507"/>
      <c r="O743" s="449"/>
    </row>
    <row r="744" spans="2:15" ht="14.65" hidden="1" customHeight="1" outlineLevel="1" thickBot="1">
      <c r="B744" s="524" t="s">
        <v>1150</v>
      </c>
      <c r="C744" s="512" t="str">
        <f>IFERROR(VLOOKUP(B744,MasterSheet!$B$6:$N$421,3,),"n/a")</f>
        <v>PARCHMENT PAPER / WRAPPING RICE</v>
      </c>
      <c r="D744" s="513">
        <v>1</v>
      </c>
      <c r="E744" s="514" t="str">
        <f>IFERROR(VLOOKUP(B744,[4]MasterSheet!B522:N1113,10,),"N/a")</f>
        <v>N/a</v>
      </c>
      <c r="F744" s="515">
        <f>IFERROR(VLOOKUP(B744,MasterSheet!$B$6:$N$421,11,),"N/a")</f>
        <v>216.45</v>
      </c>
      <c r="G744" s="516">
        <f t="shared" si="187"/>
        <v>216.45</v>
      </c>
      <c r="H744" s="916"/>
      <c r="I744" s="916"/>
      <c r="J744" s="517">
        <f>D744*$J$727</f>
        <v>4</v>
      </c>
      <c r="K744" s="518">
        <f t="shared" si="191"/>
        <v>1</v>
      </c>
      <c r="L744" s="518">
        <f t="shared" si="190"/>
        <v>5</v>
      </c>
      <c r="M744" s="519"/>
      <c r="N744" s="520"/>
      <c r="O744" s="449"/>
    </row>
    <row r="745" spans="2:15" collapsed="1">
      <c r="B745" s="219" t="s">
        <v>1483</v>
      </c>
      <c r="C745" s="15" t="s">
        <v>1485</v>
      </c>
      <c r="D745" s="184">
        <f>E745*(1+$E$8)</f>
        <v>73700</v>
      </c>
      <c r="E745" s="184">
        <v>67000</v>
      </c>
      <c r="F745" s="174">
        <f>H748</f>
        <v>23613.626133385053</v>
      </c>
      <c r="G745" s="489">
        <f>I748</f>
        <v>24451.626133385053</v>
      </c>
      <c r="H745" s="500">
        <f>F745/E745</f>
        <v>0.35244218109529929</v>
      </c>
      <c r="I745" s="500">
        <f>G745/E745</f>
        <v>0.36494964378186645</v>
      </c>
      <c r="J745" s="501">
        <f>VLOOKUP(B745,'SALES MIX'!B14:J104,4)</f>
        <v>4</v>
      </c>
      <c r="K745" s="501">
        <f>VLOOKUP(B745,'SALES MIX'!B14:J104,5)</f>
        <v>1</v>
      </c>
      <c r="L745" s="221">
        <f>((F745*J745)+(G745*K745))/((J745+K745)*E745)</f>
        <v>0.35494367363261276</v>
      </c>
      <c r="M745" s="493"/>
      <c r="N745" s="493"/>
      <c r="O745" s="449"/>
    </row>
    <row r="746" spans="2:15" ht="14.65" hidden="1" customHeight="1" outlineLevel="1" thickTop="1">
      <c r="B746" s="913" t="s">
        <v>608</v>
      </c>
      <c r="C746" s="914" t="s">
        <v>1305</v>
      </c>
      <c r="D746" s="915" t="s">
        <v>1306</v>
      </c>
      <c r="E746" s="915" t="s">
        <v>60</v>
      </c>
      <c r="F746" s="915" t="s">
        <v>615</v>
      </c>
      <c r="G746" s="915" t="s">
        <v>755</v>
      </c>
      <c r="H746" s="907" t="s">
        <v>1312</v>
      </c>
      <c r="I746" s="907"/>
      <c r="J746" s="907" t="s">
        <v>1319</v>
      </c>
      <c r="K746" s="907"/>
      <c r="L746" s="908" t="s">
        <v>1313</v>
      </c>
      <c r="M746" s="907" t="s">
        <v>912</v>
      </c>
      <c r="N746" s="917"/>
      <c r="O746" s="449"/>
    </row>
    <row r="747" spans="2:15" ht="14.65" hidden="1" customHeight="1" outlineLevel="1" thickBot="1">
      <c r="B747" s="894"/>
      <c r="C747" s="896"/>
      <c r="D747" s="898"/>
      <c r="E747" s="898"/>
      <c r="F747" s="898"/>
      <c r="G747" s="898"/>
      <c r="H747" s="502" t="s">
        <v>1309</v>
      </c>
      <c r="I747" s="502" t="s">
        <v>1308</v>
      </c>
      <c r="J747" s="502" t="s">
        <v>1309</v>
      </c>
      <c r="K747" s="502" t="s">
        <v>1308</v>
      </c>
      <c r="L747" s="901"/>
      <c r="M747" s="903"/>
      <c r="N747" s="904"/>
      <c r="O747" s="449"/>
    </row>
    <row r="748" spans="2:15" ht="14.25" hidden="1" customHeight="1" outlineLevel="1">
      <c r="B748" s="504" t="s">
        <v>631</v>
      </c>
      <c r="C748" s="15" t="str">
        <f>IFERROR(VLOOKUP(B748,MasterSheet!$B$6:$N$150,3,),"n/a")</f>
        <v>Injected Whole Chicken (1.25kg)</v>
      </c>
      <c r="D748" s="499">
        <f>1250/9*2</f>
        <v>277.77777777777777</v>
      </c>
      <c r="E748" s="505" t="str">
        <f>IFERROR(VLOOKUP(B748,[4]MasterSheet!$B$6:$N$144,10,),"N/a")</f>
        <v>g</v>
      </c>
      <c r="F748" s="506">
        <f>IFERROR(VLOOKUP(B748,MasterSheet!$B$6:$N$150,11,),"N/a")</f>
        <v>34.314223999999996</v>
      </c>
      <c r="G748" s="488">
        <f>IFERROR(D748*F748,"_")</f>
        <v>9531.728888888887</v>
      </c>
      <c r="H748" s="905">
        <f>SUM(G748:G756,G758,G762,G760,G761)</f>
        <v>23613.626133385053</v>
      </c>
      <c r="I748" s="905">
        <f>SUM(G748:G755,G757,G758,G762,G759,G761,G760)</f>
        <v>24451.626133385053</v>
      </c>
      <c r="J748" s="491">
        <f>D748*$J$745</f>
        <v>1111.1111111111111</v>
      </c>
      <c r="K748" s="501">
        <f>D748*$K$745</f>
        <v>277.77777777777777</v>
      </c>
      <c r="L748" s="501">
        <f>SUM(J748:K748)</f>
        <v>1388.8888888888889</v>
      </c>
      <c r="M748" s="493"/>
      <c r="N748" s="507"/>
      <c r="O748" s="449"/>
    </row>
    <row r="749" spans="2:15" ht="14.25" hidden="1" customHeight="1" outlineLevel="1">
      <c r="B749" s="508" t="s">
        <v>742</v>
      </c>
      <c r="C749" s="15" t="str">
        <f>IFERROR(VLOOKUP(B749,MasterSheet!$B$6:$N$150,3,),"n/a")</f>
        <v>Garlic Flavour Soy Sauce</v>
      </c>
      <c r="D749" s="499">
        <f>D748*11%</f>
        <v>30.555555555555554</v>
      </c>
      <c r="E749" s="505" t="str">
        <f>IFERROR(VLOOKUP(B749,[4]MasterSheet!$B$6:$N$144,10,),"N/a")</f>
        <v>g</v>
      </c>
      <c r="F749" s="506">
        <f>IFERROR(VLOOKUP(B749,MasterSheet!$B$6:$N$150,11,),"N/a")</f>
        <v>112.734375</v>
      </c>
      <c r="G749" s="488">
        <f t="shared" ref="G749:G762" si="192">IFERROR(D749*F749,"_")</f>
        <v>3444.661458333333</v>
      </c>
      <c r="H749" s="905"/>
      <c r="I749" s="905"/>
      <c r="J749" s="491">
        <f t="shared" ref="J749:J761" si="193">D749*$J$745</f>
        <v>122.22222222222221</v>
      </c>
      <c r="K749" s="501">
        <f t="shared" ref="K749:K761" si="194">D749*$K$745</f>
        <v>30.555555555555554</v>
      </c>
      <c r="L749" s="501">
        <f t="shared" ref="L749:L762" si="195">SUM(J749:K749)</f>
        <v>152.77777777777777</v>
      </c>
      <c r="M749" s="493"/>
      <c r="N749" s="507"/>
      <c r="O749" s="449"/>
    </row>
    <row r="750" spans="2:15" ht="14.25" hidden="1" customHeight="1" outlineLevel="1">
      <c r="B750" s="508" t="s">
        <v>999</v>
      </c>
      <c r="C750" s="15" t="str">
        <f>IFERROR(VLOOKUP(B750,MasterSheet!$B$6:$N$150,3,),"n/a")</f>
        <v>Palm Oil</v>
      </c>
      <c r="D750" s="499">
        <f>D748*0.1</f>
        <v>27.777777777777779</v>
      </c>
      <c r="E750" s="505" t="str">
        <f>IFERROR(VLOOKUP(B750,[4]MasterSheet!$B$6:$N$144,10,),"N/a")</f>
        <v>g</v>
      </c>
      <c r="F750" s="506">
        <f>IFERROR(VLOOKUP(B750,MasterSheet!$B$6:$N$150,11,),"N/a")</f>
        <v>25.580404040404041</v>
      </c>
      <c r="G750" s="488">
        <f t="shared" si="192"/>
        <v>710.56677890011224</v>
      </c>
      <c r="H750" s="905"/>
      <c r="I750" s="905"/>
      <c r="J750" s="491">
        <f t="shared" si="193"/>
        <v>111.11111111111111</v>
      </c>
      <c r="K750" s="501">
        <f t="shared" si="194"/>
        <v>27.777777777777779</v>
      </c>
      <c r="L750" s="501">
        <f t="shared" si="195"/>
        <v>138.88888888888889</v>
      </c>
      <c r="M750" s="493"/>
      <c r="N750" s="507"/>
      <c r="O750" s="449"/>
    </row>
    <row r="751" spans="2:15" ht="14.25" hidden="1" customHeight="1" outlineLevel="1">
      <c r="B751" s="508" t="s">
        <v>1004</v>
      </c>
      <c r="C751" s="15" t="str">
        <f>IFERROR(VLOOKUP(B751,MasterSheet!$B$6:$N$150,3,),"n/a")</f>
        <v>Garlic Chip</v>
      </c>
      <c r="D751" s="499">
        <v>2</v>
      </c>
      <c r="E751" s="505" t="str">
        <f>IFERROR(VLOOKUP(B751,[4]MasterSheet!$B$6:$N$144,10,),"N/a")</f>
        <v>g</v>
      </c>
      <c r="F751" s="506">
        <f>IFERROR(VLOOKUP(B751,MasterSheet!$B$6:$N$150,11,),"N/a")</f>
        <v>90.808080808080817</v>
      </c>
      <c r="G751" s="488">
        <f t="shared" si="192"/>
        <v>181.61616161616163</v>
      </c>
      <c r="H751" s="905"/>
      <c r="I751" s="905"/>
      <c r="J751" s="491">
        <f t="shared" si="193"/>
        <v>8</v>
      </c>
      <c r="K751" s="501">
        <f t="shared" si="194"/>
        <v>2</v>
      </c>
      <c r="L751" s="501">
        <f t="shared" si="195"/>
        <v>10</v>
      </c>
      <c r="M751" s="493"/>
      <c r="N751" s="507"/>
      <c r="O751" s="449"/>
    </row>
    <row r="752" spans="2:15" ht="14.25" hidden="1" customHeight="1" outlineLevel="1">
      <c r="B752" s="508" t="s">
        <v>785</v>
      </c>
      <c r="C752" s="15" t="str">
        <f>IFERROR(VLOOKUP(B752,MasterSheet!$B$6:$N$150,3,),"n/a")</f>
        <v xml:space="preserve">Black Tea (w/water) </v>
      </c>
      <c r="D752" s="499">
        <v>250</v>
      </c>
      <c r="E752" s="505" t="str">
        <f>IFERROR(VLOOKUP(B752,[4]MasterSheet!$B$6:$N$144,10,),"N/a")</f>
        <v>g</v>
      </c>
      <c r="F752" s="506">
        <f>IFERROR(VLOOKUP(B752,MasterSheet!$B$6:$N$150,11,),"N/a")</f>
        <v>1.6818181818181819</v>
      </c>
      <c r="G752" s="488">
        <f t="shared" si="192"/>
        <v>420.4545454545455</v>
      </c>
      <c r="H752" s="905"/>
      <c r="I752" s="905"/>
      <c r="J752" s="491">
        <f t="shared" si="193"/>
        <v>1000</v>
      </c>
      <c r="K752" s="501">
        <f t="shared" si="194"/>
        <v>250</v>
      </c>
      <c r="L752" s="501">
        <f t="shared" si="195"/>
        <v>1250</v>
      </c>
      <c r="M752" s="493"/>
      <c r="N752" s="507"/>
      <c r="O752" s="449"/>
    </row>
    <row r="753" spans="2:15" ht="14.25" hidden="1" customHeight="1" outlineLevel="1">
      <c r="B753" s="508" t="s">
        <v>1029</v>
      </c>
      <c r="C753" s="15" t="str">
        <f>IFERROR(VLOOKUP(B753,MasterSheet!$B$6:$N$150,3,),"n/a")</f>
        <v>GIMBORI (Crispy Seaweed)</v>
      </c>
      <c r="D753" s="499">
        <v>1</v>
      </c>
      <c r="E753" s="505" t="str">
        <f>IFERROR(VLOOKUP(B753,[4]MasterSheet!$B$6:$N$144,10,),"N/a")</f>
        <v>g</v>
      </c>
      <c r="F753" s="506">
        <f>IFERROR(VLOOKUP(B753,MasterSheet!$B$6:$N$150,11,),"N/a")</f>
        <v>390.90909090909093</v>
      </c>
      <c r="G753" s="488">
        <f t="shared" si="192"/>
        <v>390.90909090909093</v>
      </c>
      <c r="H753" s="905"/>
      <c r="I753" s="905"/>
      <c r="J753" s="491">
        <f t="shared" si="193"/>
        <v>4</v>
      </c>
      <c r="K753" s="501">
        <f t="shared" si="194"/>
        <v>1</v>
      </c>
      <c r="L753" s="501">
        <f t="shared" si="195"/>
        <v>5</v>
      </c>
      <c r="M753" s="493"/>
      <c r="N753" s="507"/>
      <c r="O753" s="449"/>
    </row>
    <row r="754" spans="2:15" ht="14.25" hidden="1" customHeight="1" outlineLevel="1">
      <c r="B754" s="509" t="s">
        <v>568</v>
      </c>
      <c r="C754" s="15" t="str">
        <f>VLOOKUP(B754,CK!$B$8:$L$87,4,)</f>
        <v>Battering Powder Mix C Solution(Yellow)</v>
      </c>
      <c r="D754" s="510">
        <f>D748*0.21</f>
        <v>58.333333333333329</v>
      </c>
      <c r="E754" s="505" t="str">
        <f>VLOOKUP(B754,[4]CK!$B$8:$L$87,9,)</f>
        <v>g</v>
      </c>
      <c r="F754" s="506">
        <f>VLOOKUP(B754,CK!$B$8:$L$87,10,)</f>
        <v>23.80952380952381</v>
      </c>
      <c r="G754" s="488">
        <f t="shared" si="192"/>
        <v>1388.8888888888889</v>
      </c>
      <c r="H754" s="905"/>
      <c r="I754" s="905"/>
      <c r="J754" s="491">
        <f t="shared" si="193"/>
        <v>233.33333333333331</v>
      </c>
      <c r="K754" s="501">
        <f t="shared" si="194"/>
        <v>58.333333333333329</v>
      </c>
      <c r="L754" s="501">
        <f t="shared" si="195"/>
        <v>291.66666666666663</v>
      </c>
      <c r="M754" s="493"/>
      <c r="N754" s="507"/>
      <c r="O754" s="449"/>
    </row>
    <row r="755" spans="2:15" ht="14.25" hidden="1" customHeight="1" outlineLevel="1">
      <c r="B755" s="509" t="s">
        <v>1413</v>
      </c>
      <c r="C755" s="15" t="str">
        <f>VLOOKUP(B755,CK!$B$8:$L$87,4,)</f>
        <v xml:space="preserve">Tteokbokki </v>
      </c>
      <c r="D755" s="510">
        <v>163</v>
      </c>
      <c r="E755" s="505" t="str">
        <f>VLOOKUP(B755,[4]CK!$B$8:$L$87,9,)</f>
        <v>g</v>
      </c>
      <c r="F755" s="506">
        <f>VLOOKUP(B755,CK!$B$8:$L$87,10,)</f>
        <v>26.910124664994086</v>
      </c>
      <c r="G755" s="488">
        <f t="shared" si="192"/>
        <v>4386.3503203940363</v>
      </c>
      <c r="H755" s="905"/>
      <c r="I755" s="905"/>
      <c r="J755" s="491">
        <f t="shared" si="193"/>
        <v>652</v>
      </c>
      <c r="K755" s="501">
        <f t="shared" si="194"/>
        <v>163</v>
      </c>
      <c r="L755" s="501">
        <f t="shared" si="195"/>
        <v>815</v>
      </c>
      <c r="M755" s="493"/>
      <c r="N755" s="507"/>
      <c r="O755" s="449"/>
    </row>
    <row r="756" spans="2:15" ht="14.25" hidden="1" customHeight="1" outlineLevel="1">
      <c r="B756" s="523" t="s">
        <v>1341</v>
      </c>
      <c r="C756" s="15" t="str">
        <f>IFERROR(VLOOKUP(B756,MasterSheet!$B$6:$N$521,3,),"n/a")</f>
        <v>BB.Q Papertray</v>
      </c>
      <c r="D756" s="510">
        <v>1</v>
      </c>
      <c r="E756" s="505" t="str">
        <f>IFERROR(VLOOKUP(B756,[4]MasterSheet!$B$6:$N$515,10,),"N/a")</f>
        <v>ea</v>
      </c>
      <c r="F756" s="506">
        <f>IFERROR(VLOOKUP(B756,MasterSheet!$B$6:$N$521,11,),"N/a")</f>
        <v>600</v>
      </c>
      <c r="G756" s="488">
        <f t="shared" si="192"/>
        <v>600</v>
      </c>
      <c r="H756" s="905"/>
      <c r="I756" s="905"/>
      <c r="J756" s="491">
        <f t="shared" si="193"/>
        <v>4</v>
      </c>
      <c r="K756" s="501"/>
      <c r="L756" s="501">
        <f t="shared" si="195"/>
        <v>4</v>
      </c>
      <c r="M756" s="493"/>
      <c r="N756" s="507"/>
      <c r="O756" s="449"/>
    </row>
    <row r="757" spans="2:15" ht="14.25" hidden="1" customHeight="1" outlineLevel="1">
      <c r="B757" s="523" t="s">
        <v>1337</v>
      </c>
      <c r="C757" s="15" t="str">
        <f>IFERROR(VLOOKUP(B757,MasterSheet!$B$6:$N$521,3,),"n/a")</f>
        <v>BB.Q FOODPAIL L</v>
      </c>
      <c r="D757" s="510">
        <v>1</v>
      </c>
      <c r="E757" s="505" t="str">
        <f>IFERROR(VLOOKUP(B757,[4]MasterSheet!$B$6:$N$515,10,),"N/a")</f>
        <v>ea</v>
      </c>
      <c r="F757" s="506">
        <f>IFERROR(VLOOKUP(B757,MasterSheet!$B$6:$N$521,11,),"N/a")</f>
        <v>1238</v>
      </c>
      <c r="G757" s="488">
        <f t="shared" si="192"/>
        <v>1238</v>
      </c>
      <c r="H757" s="905"/>
      <c r="I757" s="905"/>
      <c r="J757" s="491"/>
      <c r="K757" s="501">
        <f t="shared" si="194"/>
        <v>1</v>
      </c>
      <c r="L757" s="501">
        <f t="shared" si="195"/>
        <v>1</v>
      </c>
      <c r="M757" s="493"/>
      <c r="N757" s="507"/>
      <c r="O757" s="449"/>
    </row>
    <row r="758" spans="2:15" ht="14.25" hidden="1" customHeight="1" outlineLevel="1">
      <c r="B758" s="523" t="s">
        <v>1365</v>
      </c>
      <c r="C758" s="15" t="str">
        <f>IFERROR(VLOOKUP(B758,MasterSheet!$B$6:$N$521,3,),"n/a")</f>
        <v>Drink Package(16oz)</v>
      </c>
      <c r="D758" s="510">
        <v>1</v>
      </c>
      <c r="E758" s="505" t="str">
        <f>IFERROR(VLOOKUP(B758,[4]MasterSheet!$B$6:$N$515,10,),"N/a")</f>
        <v>ea</v>
      </c>
      <c r="F758" s="506">
        <f>IFERROR(VLOOKUP(B758,MasterSheet!$B$6:$N$521,11,),"N/a")</f>
        <v>750</v>
      </c>
      <c r="G758" s="488">
        <f t="shared" si="192"/>
        <v>750</v>
      </c>
      <c r="H758" s="905"/>
      <c r="I758" s="905"/>
      <c r="J758" s="491">
        <f t="shared" si="193"/>
        <v>4</v>
      </c>
      <c r="K758" s="501">
        <f t="shared" si="194"/>
        <v>1</v>
      </c>
      <c r="L758" s="501">
        <f t="shared" si="195"/>
        <v>5</v>
      </c>
      <c r="M758" s="493"/>
      <c r="N758" s="507"/>
      <c r="O758" s="449"/>
    </row>
    <row r="759" spans="2:15" ht="14.25" hidden="1" customHeight="1" outlineLevel="1">
      <c r="B759" s="523" t="s">
        <v>1384</v>
      </c>
      <c r="C759" s="15" t="str">
        <f>IFERROR(VLOOKUP(B759,MasterSheet!$B$6:$N$521,3,),"n/a")</f>
        <v>DRINK PACKAGE LID(16OZ)</v>
      </c>
      <c r="D759" s="510">
        <v>1</v>
      </c>
      <c r="E759" s="505" t="str">
        <f>IFERROR(VLOOKUP(B759,[4]MasterSheet!$B$6:$N$515,10,),"N/a")</f>
        <v>ea</v>
      </c>
      <c r="F759" s="506">
        <f>IFERROR(VLOOKUP(B759,MasterSheet!$B$6:$N$521,11,),"N/a")</f>
        <v>200</v>
      </c>
      <c r="G759" s="488">
        <f t="shared" si="192"/>
        <v>200</v>
      </c>
      <c r="H759" s="905"/>
      <c r="I759" s="905"/>
      <c r="J759" s="491"/>
      <c r="K759" s="501">
        <f t="shared" si="194"/>
        <v>1</v>
      </c>
      <c r="L759" s="501">
        <f t="shared" si="195"/>
        <v>1</v>
      </c>
      <c r="M759" s="493"/>
      <c r="N759" s="507"/>
      <c r="O759" s="449"/>
    </row>
    <row r="760" spans="2:15" ht="14.25" hidden="1" customHeight="1" outlineLevel="1">
      <c r="B760" s="523" t="s">
        <v>1414</v>
      </c>
      <c r="C760" s="15" t="str">
        <f>IFERROR(VLOOKUP(B760,MasterSheet!$B$6:$N$521,3,),"n/a")</f>
        <v>PAPER BOWL PACKAGE (500ML)</v>
      </c>
      <c r="D760" s="510">
        <v>1</v>
      </c>
      <c r="E760" s="505" t="str">
        <f>IFERROR(VLOOKUP(B760,[4]MasterSheet!$B$6:$N$515,10,),"N/a")</f>
        <v>ea</v>
      </c>
      <c r="F760" s="506">
        <f>IFERROR(VLOOKUP(B760,MasterSheet!$B$6:$N$521,11,),"N/a")</f>
        <v>1164</v>
      </c>
      <c r="G760" s="488">
        <f t="shared" si="192"/>
        <v>1164</v>
      </c>
      <c r="H760" s="905"/>
      <c r="I760" s="905"/>
      <c r="J760" s="491">
        <f t="shared" si="193"/>
        <v>4</v>
      </c>
      <c r="K760" s="501">
        <f t="shared" si="194"/>
        <v>1</v>
      </c>
      <c r="L760" s="501">
        <f t="shared" si="195"/>
        <v>5</v>
      </c>
      <c r="M760" s="493"/>
      <c r="N760" s="507"/>
      <c r="O760" s="449"/>
    </row>
    <row r="761" spans="2:15" ht="14.25" hidden="1" customHeight="1" outlineLevel="1">
      <c r="B761" s="523" t="s">
        <v>1415</v>
      </c>
      <c r="C761" s="15" t="str">
        <f>IFERROR(VLOOKUP(B761,MasterSheet!$B$6:$N$521,3,),"n/a")</f>
        <v>PAPER BOWL PACKAGE (500ML) LID</v>
      </c>
      <c r="D761" s="510">
        <v>1</v>
      </c>
      <c r="E761" s="505" t="str">
        <f>IFERROR(VLOOKUP(B761,[4]MasterSheet!$B$6:$N$515,10,),"N/a")</f>
        <v>ea</v>
      </c>
      <c r="F761" s="506">
        <f>IFERROR(VLOOKUP(B761,MasterSheet!$B$6:$N$521,11,),"N/a")</f>
        <v>428</v>
      </c>
      <c r="G761" s="488">
        <f t="shared" si="192"/>
        <v>428</v>
      </c>
      <c r="H761" s="905"/>
      <c r="I761" s="905"/>
      <c r="J761" s="491">
        <f t="shared" si="193"/>
        <v>4</v>
      </c>
      <c r="K761" s="501">
        <f t="shared" si="194"/>
        <v>1</v>
      </c>
      <c r="L761" s="501">
        <f t="shared" si="195"/>
        <v>5</v>
      </c>
      <c r="M761" s="493"/>
      <c r="N761" s="507"/>
      <c r="O761" s="449"/>
    </row>
    <row r="762" spans="2:15" ht="14.65" hidden="1" customHeight="1" outlineLevel="1" thickBot="1">
      <c r="B762" s="524" t="s">
        <v>1150</v>
      </c>
      <c r="C762" s="512" t="str">
        <f>IFERROR(VLOOKUP(B762,MasterSheet!$B$6:$N$421,3,),"n/a")</f>
        <v>PARCHMENT PAPER / WRAPPING RICE</v>
      </c>
      <c r="D762" s="513">
        <v>1</v>
      </c>
      <c r="E762" s="514" t="str">
        <f>IFERROR(VLOOKUP(B762,[4]MasterSheet!B540:N1131,10,),"N/a")</f>
        <v>N/a</v>
      </c>
      <c r="F762" s="515">
        <f>IFERROR(VLOOKUP(B762,MasterSheet!$B$6:$N$421,11,),"N/a")</f>
        <v>216.45</v>
      </c>
      <c r="G762" s="516">
        <f t="shared" si="192"/>
        <v>216.45</v>
      </c>
      <c r="H762" s="916"/>
      <c r="I762" s="916"/>
      <c r="J762" s="517">
        <f>D762*$J$745</f>
        <v>4</v>
      </c>
      <c r="K762" s="518">
        <f>D762*$K$745</f>
        <v>1</v>
      </c>
      <c r="L762" s="518">
        <f t="shared" si="195"/>
        <v>5</v>
      </c>
      <c r="M762" s="519"/>
      <c r="N762" s="520"/>
      <c r="O762" s="449"/>
    </row>
    <row r="763" spans="2:15" collapsed="1">
      <c r="B763" s="219" t="s">
        <v>1488</v>
      </c>
      <c r="C763" s="15" t="s">
        <v>1487</v>
      </c>
      <c r="D763" s="184">
        <f>E763*(1+$E$8)</f>
        <v>73700</v>
      </c>
      <c r="E763" s="184">
        <v>67000</v>
      </c>
      <c r="F763" s="174">
        <f>H766</f>
        <v>23761.906368576885</v>
      </c>
      <c r="G763" s="489">
        <f>I766</f>
        <v>24599.906368576885</v>
      </c>
      <c r="H763" s="500">
        <f>F763/E763</f>
        <v>0.35465531893398339</v>
      </c>
      <c r="I763" s="500">
        <f>G763/E763</f>
        <v>0.36716278162055055</v>
      </c>
      <c r="J763" s="501">
        <f>VLOOKUP(B763,'SALES MIX'!B14:J104,4)</f>
        <v>0</v>
      </c>
      <c r="K763" s="501">
        <f>VLOOKUP(B763,'SALES MIX'!B14:J104,5)</f>
        <v>0</v>
      </c>
      <c r="L763" s="221" t="e">
        <f>((F763*J763)+(G763*K763))/((J763+K763)*E763)</f>
        <v>#DIV/0!</v>
      </c>
      <c r="M763" s="493"/>
      <c r="N763" s="493"/>
      <c r="O763" s="449"/>
    </row>
    <row r="764" spans="2:15" ht="14.65" hidden="1" customHeight="1" outlineLevel="1" thickTop="1">
      <c r="B764" s="913" t="s">
        <v>608</v>
      </c>
      <c r="C764" s="914" t="s">
        <v>1305</v>
      </c>
      <c r="D764" s="915" t="s">
        <v>1306</v>
      </c>
      <c r="E764" s="915" t="s">
        <v>60</v>
      </c>
      <c r="F764" s="915" t="s">
        <v>615</v>
      </c>
      <c r="G764" s="915" t="s">
        <v>755</v>
      </c>
      <c r="H764" s="907" t="s">
        <v>1312</v>
      </c>
      <c r="I764" s="907"/>
      <c r="J764" s="907" t="s">
        <v>1319</v>
      </c>
      <c r="K764" s="907"/>
      <c r="L764" s="908" t="s">
        <v>1313</v>
      </c>
      <c r="M764" s="907" t="s">
        <v>912</v>
      </c>
      <c r="N764" s="917"/>
      <c r="O764" s="449"/>
    </row>
    <row r="765" spans="2:15" ht="14.65" hidden="1" customHeight="1" outlineLevel="1" thickBot="1">
      <c r="B765" s="894"/>
      <c r="C765" s="896"/>
      <c r="D765" s="898"/>
      <c r="E765" s="898"/>
      <c r="F765" s="898"/>
      <c r="G765" s="898"/>
      <c r="H765" s="502" t="s">
        <v>1309</v>
      </c>
      <c r="I765" s="502" t="s">
        <v>1308</v>
      </c>
      <c r="J765" s="502" t="s">
        <v>1309</v>
      </c>
      <c r="K765" s="502" t="s">
        <v>1308</v>
      </c>
      <c r="L765" s="901"/>
      <c r="M765" s="903"/>
      <c r="N765" s="904"/>
      <c r="O765" s="449"/>
    </row>
    <row r="766" spans="2:15" ht="14.25" hidden="1" customHeight="1" outlineLevel="1">
      <c r="B766" s="504" t="s">
        <v>631</v>
      </c>
      <c r="C766" s="15" t="str">
        <f>IFERROR(VLOOKUP(B766,MasterSheet!$B$6:$N$150,3,),"n/a")</f>
        <v>Injected Whole Chicken (1.25kg)</v>
      </c>
      <c r="D766" s="499">
        <f>1250/9*2</f>
        <v>277.77777777777777</v>
      </c>
      <c r="E766" s="505" t="str">
        <f>IFERROR(VLOOKUP(B766,[4]MasterSheet!$B$6:$N$144,10,),"N/a")</f>
        <v>g</v>
      </c>
      <c r="F766" s="506">
        <f>IFERROR(VLOOKUP(B766,MasterSheet!$B$6:$N$150,11,),"N/a")</f>
        <v>34.314223999999996</v>
      </c>
      <c r="G766" s="488">
        <f>IFERROR(D766*F766,"_")</f>
        <v>9531.728888888887</v>
      </c>
      <c r="H766" s="905">
        <f>SUM(G766:G774,G776,G780,G778,G779)</f>
        <v>23761.906368576885</v>
      </c>
      <c r="I766" s="905">
        <f>SUM(G766:G773,G775,G776,G780,G777,G779,G778)</f>
        <v>24599.906368576885</v>
      </c>
      <c r="J766" s="491">
        <f>D766*$J$763</f>
        <v>0</v>
      </c>
      <c r="K766" s="501">
        <f>D766*$K$763</f>
        <v>0</v>
      </c>
      <c r="L766" s="501">
        <f>SUM(J766:K766)</f>
        <v>0</v>
      </c>
      <c r="M766" s="493"/>
      <c r="N766" s="507"/>
      <c r="O766" s="449"/>
    </row>
    <row r="767" spans="2:15" ht="14.25" hidden="1" customHeight="1" outlineLevel="1">
      <c r="B767" s="508" t="s">
        <v>758</v>
      </c>
      <c r="C767" s="15" t="str">
        <f>IFERROR(VLOOKUP(B767,MasterSheet!$B$6:$N$150,3,),"n/a")</f>
        <v>Honey pepper Sauce</v>
      </c>
      <c r="D767" s="499">
        <f>D766*11%</f>
        <v>30.555555555555554</v>
      </c>
      <c r="E767" s="505" t="str">
        <f>IFERROR(VLOOKUP(B767,[4]MasterSheet!$B$6:$N$144,10,),"N/a")</f>
        <v>g</v>
      </c>
      <c r="F767" s="506">
        <f>IFERROR(VLOOKUP(B767,MasterSheet!$B$6:$N$150,11,),"N/a")</f>
        <v>118.99739583333333</v>
      </c>
      <c r="G767" s="488">
        <f t="shared" ref="G767:G780" si="196">IFERROR(D767*F767,"_")</f>
        <v>3636.0315393518513</v>
      </c>
      <c r="H767" s="905"/>
      <c r="I767" s="905"/>
      <c r="J767" s="491">
        <f t="shared" ref="J767:J779" si="197">D767*$J$763</f>
        <v>0</v>
      </c>
      <c r="K767" s="501">
        <f t="shared" ref="K767:K779" si="198">D767*$K$763</f>
        <v>0</v>
      </c>
      <c r="L767" s="501">
        <f t="shared" ref="L767:L780" si="199">SUM(J767:K767)</f>
        <v>0</v>
      </c>
      <c r="M767" s="493"/>
      <c r="N767" s="507"/>
      <c r="O767" s="449"/>
    </row>
    <row r="768" spans="2:15" ht="14.25" hidden="1" customHeight="1" outlineLevel="1">
      <c r="B768" s="508" t="s">
        <v>999</v>
      </c>
      <c r="C768" s="15" t="str">
        <f>IFERROR(VLOOKUP(B768,MasterSheet!$B$6:$N$150,3,),"n/a")</f>
        <v>Palm Oil</v>
      </c>
      <c r="D768" s="499">
        <f>D766*0.1</f>
        <v>27.777777777777779</v>
      </c>
      <c r="E768" s="505" t="str">
        <f>IFERROR(VLOOKUP(B768,[4]MasterSheet!$B$6:$N$144,10,),"N/a")</f>
        <v>g</v>
      </c>
      <c r="F768" s="506">
        <f>IFERROR(VLOOKUP(B768,MasterSheet!$B$6:$N$150,11,),"N/a")</f>
        <v>25.580404040404041</v>
      </c>
      <c r="G768" s="488">
        <f t="shared" si="196"/>
        <v>710.56677890011224</v>
      </c>
      <c r="H768" s="905"/>
      <c r="I768" s="905"/>
      <c r="J768" s="491">
        <f t="shared" si="197"/>
        <v>0</v>
      </c>
      <c r="K768" s="501">
        <f t="shared" si="198"/>
        <v>0</v>
      </c>
      <c r="L768" s="501">
        <f t="shared" si="199"/>
        <v>0</v>
      </c>
      <c r="M768" s="493"/>
      <c r="N768" s="507"/>
      <c r="O768" s="449"/>
    </row>
    <row r="769" spans="2:15" ht="14.25" hidden="1" customHeight="1" outlineLevel="1">
      <c r="B769" s="508" t="s">
        <v>672</v>
      </c>
      <c r="C769" s="15" t="str">
        <f>IFERROR(VLOOKUP(B769,MasterSheet!$B$6:$N$150,3,),"n/a")</f>
        <v>Scallion(Green Onion)</v>
      </c>
      <c r="D769" s="499">
        <v>5</v>
      </c>
      <c r="E769" s="505" t="str">
        <f>IFERROR(VLOOKUP(B769,[4]MasterSheet!$B$6:$N$144,10,),"N/a")</f>
        <v>g</v>
      </c>
      <c r="F769" s="506">
        <f>IFERROR(VLOOKUP(B769,MasterSheet!$B$6:$N$150,11,),"N/a")</f>
        <v>27.705263157894738</v>
      </c>
      <c r="G769" s="488">
        <f t="shared" si="196"/>
        <v>138.5263157894737</v>
      </c>
      <c r="H769" s="905"/>
      <c r="I769" s="905"/>
      <c r="J769" s="491">
        <f t="shared" si="197"/>
        <v>0</v>
      </c>
      <c r="K769" s="501">
        <f t="shared" si="198"/>
        <v>0</v>
      </c>
      <c r="L769" s="501">
        <f t="shared" si="199"/>
        <v>0</v>
      </c>
      <c r="M769" s="493"/>
      <c r="N769" s="507"/>
      <c r="O769" s="449"/>
    </row>
    <row r="770" spans="2:15" ht="14.25" hidden="1" customHeight="1" outlineLevel="1">
      <c r="B770" s="508" t="s">
        <v>785</v>
      </c>
      <c r="C770" s="15" t="str">
        <f>IFERROR(VLOOKUP(B770,MasterSheet!$B$6:$N$150,3,),"n/a")</f>
        <v xml:space="preserve">Black Tea (w/water) </v>
      </c>
      <c r="D770" s="499">
        <v>250</v>
      </c>
      <c r="E770" s="505" t="str">
        <f>IFERROR(VLOOKUP(B770,[4]MasterSheet!$B$6:$N$144,10,),"N/a")</f>
        <v>g</v>
      </c>
      <c r="F770" s="506">
        <f>IFERROR(VLOOKUP(B770,MasterSheet!$B$6:$N$150,11,),"N/a")</f>
        <v>1.6818181818181819</v>
      </c>
      <c r="G770" s="488">
        <f t="shared" si="196"/>
        <v>420.4545454545455</v>
      </c>
      <c r="H770" s="905"/>
      <c r="I770" s="905"/>
      <c r="J770" s="491">
        <f t="shared" si="197"/>
        <v>0</v>
      </c>
      <c r="K770" s="501">
        <f t="shared" si="198"/>
        <v>0</v>
      </c>
      <c r="L770" s="501">
        <f t="shared" si="199"/>
        <v>0</v>
      </c>
      <c r="M770" s="493"/>
      <c r="N770" s="507"/>
      <c r="O770" s="449"/>
    </row>
    <row r="771" spans="2:15" ht="14.25" hidden="1" customHeight="1" outlineLevel="1">
      <c r="B771" s="508" t="s">
        <v>1029</v>
      </c>
      <c r="C771" s="15" t="str">
        <f>IFERROR(VLOOKUP(B771,MasterSheet!$B$6:$N$150,3,),"n/a")</f>
        <v>GIMBORI (Crispy Seaweed)</v>
      </c>
      <c r="D771" s="499">
        <v>1</v>
      </c>
      <c r="E771" s="505" t="str">
        <f>IFERROR(VLOOKUP(B771,[4]MasterSheet!$B$6:$N$144,10,),"N/a")</f>
        <v>g</v>
      </c>
      <c r="F771" s="506">
        <f>IFERROR(VLOOKUP(B771,MasterSheet!$B$6:$N$150,11,),"N/a")</f>
        <v>390.90909090909093</v>
      </c>
      <c r="G771" s="488">
        <f t="shared" si="196"/>
        <v>390.90909090909093</v>
      </c>
      <c r="H771" s="905"/>
      <c r="I771" s="905"/>
      <c r="J771" s="491">
        <f t="shared" si="197"/>
        <v>0</v>
      </c>
      <c r="K771" s="501">
        <f t="shared" si="198"/>
        <v>0</v>
      </c>
      <c r="L771" s="501">
        <f t="shared" si="199"/>
        <v>0</v>
      </c>
      <c r="M771" s="493"/>
      <c r="N771" s="507"/>
      <c r="O771" s="449"/>
    </row>
    <row r="772" spans="2:15" ht="14.25" hidden="1" customHeight="1" outlineLevel="1">
      <c r="B772" s="509" t="s">
        <v>568</v>
      </c>
      <c r="C772" s="15" t="str">
        <f>VLOOKUP(B772,CK!$B$8:$L$87,4,)</f>
        <v>Battering Powder Mix C Solution(Yellow)</v>
      </c>
      <c r="D772" s="510">
        <f>D766*0.21</f>
        <v>58.333333333333329</v>
      </c>
      <c r="E772" s="505" t="str">
        <f>VLOOKUP(B772,[4]CK!$B$8:$L$87,9,)</f>
        <v>g</v>
      </c>
      <c r="F772" s="506">
        <f>VLOOKUP(B772,CK!$B$8:$L$87,10,)</f>
        <v>23.80952380952381</v>
      </c>
      <c r="G772" s="488">
        <f t="shared" si="196"/>
        <v>1388.8888888888889</v>
      </c>
      <c r="H772" s="905"/>
      <c r="I772" s="905"/>
      <c r="J772" s="491">
        <f t="shared" si="197"/>
        <v>0</v>
      </c>
      <c r="K772" s="501">
        <f t="shared" si="198"/>
        <v>0</v>
      </c>
      <c r="L772" s="501">
        <f t="shared" si="199"/>
        <v>0</v>
      </c>
      <c r="M772" s="493"/>
      <c r="N772" s="507"/>
      <c r="O772" s="449"/>
    </row>
    <row r="773" spans="2:15" ht="14.25" hidden="1" customHeight="1" outlineLevel="1">
      <c r="B773" s="509" t="s">
        <v>1413</v>
      </c>
      <c r="C773" s="15" t="str">
        <f>VLOOKUP(B773,CK!$B$8:$L$87,4,)</f>
        <v xml:space="preserve">Tteokbokki </v>
      </c>
      <c r="D773" s="510">
        <v>163</v>
      </c>
      <c r="E773" s="505" t="str">
        <f>VLOOKUP(B773,[4]CK!$B$8:$L$87,9,)</f>
        <v>g</v>
      </c>
      <c r="F773" s="506">
        <f>VLOOKUP(B773,CK!$B$8:$L$87,10,)</f>
        <v>26.910124664994086</v>
      </c>
      <c r="G773" s="488">
        <f t="shared" si="196"/>
        <v>4386.3503203940363</v>
      </c>
      <c r="H773" s="905"/>
      <c r="I773" s="905"/>
      <c r="J773" s="491">
        <f t="shared" si="197"/>
        <v>0</v>
      </c>
      <c r="K773" s="501">
        <f t="shared" si="198"/>
        <v>0</v>
      </c>
      <c r="L773" s="501">
        <f t="shared" si="199"/>
        <v>0</v>
      </c>
      <c r="M773" s="493"/>
      <c r="N773" s="507"/>
      <c r="O773" s="449"/>
    </row>
    <row r="774" spans="2:15" ht="14.25" hidden="1" customHeight="1" outlineLevel="1">
      <c r="B774" s="523" t="s">
        <v>1341</v>
      </c>
      <c r="C774" s="15" t="str">
        <f>IFERROR(VLOOKUP(B774,MasterSheet!$B$6:$N$521,3,),"n/a")</f>
        <v>BB.Q Papertray</v>
      </c>
      <c r="D774" s="510">
        <v>1</v>
      </c>
      <c r="E774" s="505" t="str">
        <f>IFERROR(VLOOKUP(B774,[4]MasterSheet!$B$6:$N$515,10,),"N/a")</f>
        <v>ea</v>
      </c>
      <c r="F774" s="506">
        <f>IFERROR(VLOOKUP(B774,MasterSheet!$B$6:$N$521,11,),"N/a")</f>
        <v>600</v>
      </c>
      <c r="G774" s="488">
        <f t="shared" si="196"/>
        <v>600</v>
      </c>
      <c r="H774" s="905"/>
      <c r="I774" s="905"/>
      <c r="J774" s="491">
        <f t="shared" si="197"/>
        <v>0</v>
      </c>
      <c r="K774" s="501"/>
      <c r="L774" s="501">
        <f t="shared" si="199"/>
        <v>0</v>
      </c>
      <c r="M774" s="493"/>
      <c r="N774" s="507"/>
      <c r="O774" s="449"/>
    </row>
    <row r="775" spans="2:15" ht="14.25" hidden="1" customHeight="1" outlineLevel="1">
      <c r="B775" s="523" t="s">
        <v>1337</v>
      </c>
      <c r="C775" s="15" t="str">
        <f>IFERROR(VLOOKUP(B775,MasterSheet!$B$6:$N$521,3,),"n/a")</f>
        <v>BB.Q FOODPAIL L</v>
      </c>
      <c r="D775" s="510">
        <v>1</v>
      </c>
      <c r="E775" s="505" t="str">
        <f>IFERROR(VLOOKUP(B775,[4]MasterSheet!$B$6:$N$515,10,),"N/a")</f>
        <v>ea</v>
      </c>
      <c r="F775" s="506">
        <f>IFERROR(VLOOKUP(B775,MasterSheet!$B$6:$N$521,11,),"N/a")</f>
        <v>1238</v>
      </c>
      <c r="G775" s="488">
        <f t="shared" si="196"/>
        <v>1238</v>
      </c>
      <c r="H775" s="905"/>
      <c r="I775" s="905"/>
      <c r="J775" s="491"/>
      <c r="K775" s="501">
        <f t="shared" si="198"/>
        <v>0</v>
      </c>
      <c r="L775" s="501">
        <f t="shared" si="199"/>
        <v>0</v>
      </c>
      <c r="M775" s="493"/>
      <c r="N775" s="507"/>
      <c r="O775" s="449"/>
    </row>
    <row r="776" spans="2:15" ht="14.25" hidden="1" customHeight="1" outlineLevel="1">
      <c r="B776" s="523" t="s">
        <v>1365</v>
      </c>
      <c r="C776" s="15" t="str">
        <f>IFERROR(VLOOKUP(B776,MasterSheet!$B$6:$N$521,3,),"n/a")</f>
        <v>Drink Package(16oz)</v>
      </c>
      <c r="D776" s="510">
        <v>1</v>
      </c>
      <c r="E776" s="505" t="str">
        <f>IFERROR(VLOOKUP(B776,[4]MasterSheet!$B$6:$N$515,10,),"N/a")</f>
        <v>ea</v>
      </c>
      <c r="F776" s="506">
        <f>IFERROR(VLOOKUP(B776,MasterSheet!$B$6:$N$521,11,),"N/a")</f>
        <v>750</v>
      </c>
      <c r="G776" s="488">
        <f t="shared" si="196"/>
        <v>750</v>
      </c>
      <c r="H776" s="905"/>
      <c r="I776" s="905"/>
      <c r="J776" s="491">
        <f t="shared" si="197"/>
        <v>0</v>
      </c>
      <c r="K776" s="501">
        <f t="shared" si="198"/>
        <v>0</v>
      </c>
      <c r="L776" s="501">
        <f t="shared" si="199"/>
        <v>0</v>
      </c>
      <c r="M776" s="493"/>
      <c r="N776" s="507"/>
      <c r="O776" s="449"/>
    </row>
    <row r="777" spans="2:15" ht="14.25" hidden="1" customHeight="1" outlineLevel="1">
      <c r="B777" s="523" t="s">
        <v>1384</v>
      </c>
      <c r="C777" s="15" t="str">
        <f>IFERROR(VLOOKUP(B777,MasterSheet!$B$6:$N$521,3,),"n/a")</f>
        <v>DRINK PACKAGE LID(16OZ)</v>
      </c>
      <c r="D777" s="510">
        <v>1</v>
      </c>
      <c r="E777" s="505" t="str">
        <f>IFERROR(VLOOKUP(B777,[4]MasterSheet!$B$6:$N$515,10,),"N/a")</f>
        <v>ea</v>
      </c>
      <c r="F777" s="506">
        <f>IFERROR(VLOOKUP(B777,MasterSheet!$B$6:$N$521,11,),"N/a")</f>
        <v>200</v>
      </c>
      <c r="G777" s="488">
        <f t="shared" si="196"/>
        <v>200</v>
      </c>
      <c r="H777" s="905"/>
      <c r="I777" s="905"/>
      <c r="J777" s="491"/>
      <c r="K777" s="501">
        <f t="shared" si="198"/>
        <v>0</v>
      </c>
      <c r="L777" s="501">
        <f t="shared" si="199"/>
        <v>0</v>
      </c>
      <c r="M777" s="493"/>
      <c r="N777" s="507"/>
      <c r="O777" s="449"/>
    </row>
    <row r="778" spans="2:15" ht="14.25" hidden="1" customHeight="1" outlineLevel="1">
      <c r="B778" s="523" t="s">
        <v>1414</v>
      </c>
      <c r="C778" s="15" t="str">
        <f>IFERROR(VLOOKUP(B778,MasterSheet!$B$6:$N$521,3,),"n/a")</f>
        <v>PAPER BOWL PACKAGE (500ML)</v>
      </c>
      <c r="D778" s="510">
        <v>1</v>
      </c>
      <c r="E778" s="505" t="str">
        <f>IFERROR(VLOOKUP(B778,[4]MasterSheet!$B$6:$N$515,10,),"N/a")</f>
        <v>ea</v>
      </c>
      <c r="F778" s="506">
        <f>IFERROR(VLOOKUP(B778,MasterSheet!$B$6:$N$521,11,),"N/a")</f>
        <v>1164</v>
      </c>
      <c r="G778" s="488">
        <f t="shared" si="196"/>
        <v>1164</v>
      </c>
      <c r="H778" s="905"/>
      <c r="I778" s="905"/>
      <c r="J778" s="491">
        <f t="shared" si="197"/>
        <v>0</v>
      </c>
      <c r="K778" s="501">
        <f t="shared" si="198"/>
        <v>0</v>
      </c>
      <c r="L778" s="501">
        <f t="shared" si="199"/>
        <v>0</v>
      </c>
      <c r="M778" s="493"/>
      <c r="N778" s="507"/>
      <c r="O778" s="449"/>
    </row>
    <row r="779" spans="2:15" ht="14.25" hidden="1" customHeight="1" outlineLevel="1">
      <c r="B779" s="523" t="s">
        <v>1415</v>
      </c>
      <c r="C779" s="15" t="str">
        <f>IFERROR(VLOOKUP(B779,MasterSheet!$B$6:$N$521,3,),"n/a")</f>
        <v>PAPER BOWL PACKAGE (500ML) LID</v>
      </c>
      <c r="D779" s="510">
        <v>1</v>
      </c>
      <c r="E779" s="505" t="str">
        <f>IFERROR(VLOOKUP(B779,[4]MasterSheet!$B$6:$N$515,10,),"N/a")</f>
        <v>ea</v>
      </c>
      <c r="F779" s="506">
        <f>IFERROR(VLOOKUP(B779,MasterSheet!$B$6:$N$521,11,),"N/a")</f>
        <v>428</v>
      </c>
      <c r="G779" s="488">
        <f t="shared" si="196"/>
        <v>428</v>
      </c>
      <c r="H779" s="905"/>
      <c r="I779" s="905"/>
      <c r="J779" s="491">
        <f t="shared" si="197"/>
        <v>0</v>
      </c>
      <c r="K779" s="501">
        <f t="shared" si="198"/>
        <v>0</v>
      </c>
      <c r="L779" s="501">
        <f t="shared" si="199"/>
        <v>0</v>
      </c>
      <c r="M779" s="493"/>
      <c r="N779" s="507"/>
      <c r="O779" s="449"/>
    </row>
    <row r="780" spans="2:15" ht="14.65" hidden="1" customHeight="1" outlineLevel="1" thickBot="1">
      <c r="B780" s="524" t="s">
        <v>1150</v>
      </c>
      <c r="C780" s="512" t="str">
        <f>IFERROR(VLOOKUP(B780,MasterSheet!$B$6:$N$421,3,),"n/a")</f>
        <v>PARCHMENT PAPER / WRAPPING RICE</v>
      </c>
      <c r="D780" s="513">
        <v>1</v>
      </c>
      <c r="E780" s="514" t="str">
        <f>IFERROR(VLOOKUP(B780,[4]MasterSheet!B558:N1149,10,),"N/a")</f>
        <v>N/a</v>
      </c>
      <c r="F780" s="515">
        <f>IFERROR(VLOOKUP(B780,MasterSheet!$B$6:$N$421,11,),"N/a")</f>
        <v>216.45</v>
      </c>
      <c r="G780" s="516">
        <f t="shared" si="196"/>
        <v>216.45</v>
      </c>
      <c r="H780" s="916"/>
      <c r="I780" s="916"/>
      <c r="J780" s="517">
        <f>D780*$J$763</f>
        <v>0</v>
      </c>
      <c r="K780" s="518">
        <f>D780*$K$763</f>
        <v>0</v>
      </c>
      <c r="L780" s="518">
        <f t="shared" si="199"/>
        <v>0</v>
      </c>
      <c r="M780" s="519"/>
      <c r="N780" s="520"/>
      <c r="O780" s="449"/>
    </row>
    <row r="781" spans="2:15" collapsed="1">
      <c r="B781" s="219" t="s">
        <v>1489</v>
      </c>
      <c r="C781" s="15" t="s">
        <v>1495</v>
      </c>
      <c r="D781" s="184">
        <f>E781*(1+$E$8)</f>
        <v>42900</v>
      </c>
      <c r="E781" s="184">
        <v>39000</v>
      </c>
      <c r="F781" s="174">
        <f>H784</f>
        <v>14749.460183624167</v>
      </c>
      <c r="G781" s="489">
        <f>I784</f>
        <v>14749.460183624167</v>
      </c>
      <c r="H781" s="500">
        <f>F781/E781</f>
        <v>0.37819128675959401</v>
      </c>
      <c r="I781" s="500">
        <f>G781/E781</f>
        <v>0.37819128675959401</v>
      </c>
      <c r="J781" s="501">
        <f>VLOOKUP(B781,'SALES MIX'!B14:J104,4)</f>
        <v>0</v>
      </c>
      <c r="K781" s="501">
        <f>VLOOKUP(B781,'SALES MIX'!B14:J104,5)</f>
        <v>0</v>
      </c>
      <c r="L781" s="221" t="e">
        <f>((F781*J781)+(G781*K781))/((J781+K781)*E781)</f>
        <v>#DIV/0!</v>
      </c>
      <c r="M781" s="493"/>
      <c r="N781" s="493"/>
      <c r="O781" s="449"/>
    </row>
    <row r="782" spans="2:15" ht="14.65" hidden="1" customHeight="1" outlineLevel="1" thickTop="1">
      <c r="B782" s="913" t="s">
        <v>608</v>
      </c>
      <c r="C782" s="914" t="s">
        <v>1305</v>
      </c>
      <c r="D782" s="915" t="s">
        <v>1306</v>
      </c>
      <c r="E782" s="915" t="s">
        <v>60</v>
      </c>
      <c r="F782" s="915" t="s">
        <v>615</v>
      </c>
      <c r="G782" s="915" t="s">
        <v>755</v>
      </c>
      <c r="H782" s="907" t="s">
        <v>1312</v>
      </c>
      <c r="I782" s="907"/>
      <c r="J782" s="907" t="s">
        <v>1319</v>
      </c>
      <c r="K782" s="907"/>
      <c r="L782" s="908" t="s">
        <v>1313</v>
      </c>
      <c r="M782" s="907" t="s">
        <v>912</v>
      </c>
      <c r="N782" s="917"/>
      <c r="O782" s="449"/>
    </row>
    <row r="783" spans="2:15" ht="14.65" hidden="1" customHeight="1" outlineLevel="1" thickBot="1">
      <c r="B783" s="894"/>
      <c r="C783" s="896"/>
      <c r="D783" s="898"/>
      <c r="E783" s="898"/>
      <c r="F783" s="898"/>
      <c r="G783" s="898"/>
      <c r="H783" s="502" t="s">
        <v>1309</v>
      </c>
      <c r="I783" s="502" t="s">
        <v>1308</v>
      </c>
      <c r="J783" s="502" t="s">
        <v>1309</v>
      </c>
      <c r="K783" s="502" t="s">
        <v>1308</v>
      </c>
      <c r="L783" s="901"/>
      <c r="M783" s="903"/>
      <c r="N783" s="904"/>
      <c r="O783" s="449"/>
    </row>
    <row r="784" spans="2:15" ht="14.25" hidden="1" customHeight="1" outlineLevel="1">
      <c r="B784" s="504" t="s">
        <v>1492</v>
      </c>
      <c r="C784" s="15" t="str">
        <f>IFERROR(VLOOKUP(B784,MasterSheet!$B$6:$N$150,3,),"n/a")</f>
        <v>Hot Spicy Sauce</v>
      </c>
      <c r="D784" s="499">
        <v>10</v>
      </c>
      <c r="E784" s="505" t="str">
        <f>IFERROR(VLOOKUP(B784,[4]MasterSheet!$B$6:$N$144,10,),"N/a")</f>
        <v>g</v>
      </c>
      <c r="F784" s="506">
        <f>IFERROR(VLOOKUP(B784,MasterSheet!$B$6:$N$150,11,),"N/a")</f>
        <v>135.85937500000003</v>
      </c>
      <c r="G784" s="488">
        <f>IFERROR(D784*F784,"_")</f>
        <v>1358.5937500000002</v>
      </c>
      <c r="H784" s="905">
        <f>SUM(G784:G793)</f>
        <v>14749.460183624167</v>
      </c>
      <c r="I784" s="905">
        <f>SUM(H784:H793)</f>
        <v>14749.460183624167</v>
      </c>
      <c r="J784" s="491">
        <f>D784*$J$781</f>
        <v>0</v>
      </c>
      <c r="K784" s="501">
        <f>D784*$K$781</f>
        <v>0</v>
      </c>
      <c r="L784" s="501">
        <f>SUM(J784:K784)</f>
        <v>0</v>
      </c>
      <c r="M784" s="493"/>
      <c r="N784" s="507"/>
      <c r="O784" s="449"/>
    </row>
    <row r="785" spans="2:15" ht="14.25" hidden="1" customHeight="1" outlineLevel="1">
      <c r="B785" s="508" t="s">
        <v>1029</v>
      </c>
      <c r="C785" s="15" t="str">
        <f>IFERROR(VLOOKUP(B785,MasterSheet!$B$6:$N$150,3,),"n/a")</f>
        <v>GIMBORI (Crispy Seaweed)</v>
      </c>
      <c r="D785" s="499">
        <v>2</v>
      </c>
      <c r="E785" s="505" t="str">
        <f>IFERROR(VLOOKUP(B785,[4]MasterSheet!$B$6:$N$144,10,),"N/a")</f>
        <v>g</v>
      </c>
      <c r="F785" s="506">
        <f>IFERROR(VLOOKUP(B785,MasterSheet!$B$6:$N$150,11,),"N/a")</f>
        <v>390.90909090909093</v>
      </c>
      <c r="G785" s="488">
        <f t="shared" ref="G785:G793" si="200">IFERROR(D785*F785,"_")</f>
        <v>781.81818181818187</v>
      </c>
      <c r="H785" s="905"/>
      <c r="I785" s="905"/>
      <c r="J785" s="491">
        <f t="shared" ref="J785:J792" si="201">D785*$J$781</f>
        <v>0</v>
      </c>
      <c r="K785" s="501">
        <f t="shared" ref="K785:K792" si="202">D785*$K$781</f>
        <v>0</v>
      </c>
      <c r="L785" s="501">
        <f t="shared" ref="L785:L793" si="203">SUM(J785:K785)</f>
        <v>0</v>
      </c>
      <c r="M785" s="493"/>
      <c r="N785" s="507"/>
      <c r="O785" s="449"/>
    </row>
    <row r="786" spans="2:15" ht="14.25" hidden="1" customHeight="1" outlineLevel="1">
      <c r="B786" s="508" t="s">
        <v>767</v>
      </c>
      <c r="C786" s="15" t="str">
        <f>IFERROR(VLOOKUP(B786,MasterSheet!$B$6:$N$150,3,),"n/a")</f>
        <v>Scallion(Green Onion)</v>
      </c>
      <c r="D786" s="499">
        <v>2</v>
      </c>
      <c r="E786" s="505" t="str">
        <f>IFERROR(VLOOKUP(B786,[4]MasterSheet!$B$6:$N$144,10,),"N/a")</f>
        <v>g</v>
      </c>
      <c r="F786" s="506">
        <f>IFERROR(VLOOKUP(B786,MasterSheet!$B$6:$N$150,11,),"N/a")</f>
        <v>27.705263157894738</v>
      </c>
      <c r="G786" s="488">
        <f t="shared" si="200"/>
        <v>55.410526315789475</v>
      </c>
      <c r="H786" s="905"/>
      <c r="I786" s="905"/>
      <c r="J786" s="491">
        <f t="shared" si="201"/>
        <v>0</v>
      </c>
      <c r="K786" s="501">
        <f t="shared" si="202"/>
        <v>0</v>
      </c>
      <c r="L786" s="501">
        <f t="shared" si="203"/>
        <v>0</v>
      </c>
      <c r="M786" s="493"/>
      <c r="N786" s="507"/>
      <c r="O786" s="449"/>
    </row>
    <row r="787" spans="2:15" ht="14.25" hidden="1" customHeight="1" outlineLevel="1">
      <c r="B787" s="508" t="s">
        <v>768</v>
      </c>
      <c r="C787" s="15" t="str">
        <f>IFERROR(VLOOKUP(B787,MasterSheet!$B$6:$N$150,3,),"n/a")</f>
        <v>Sesame Seeds</v>
      </c>
      <c r="D787" s="499">
        <v>1</v>
      </c>
      <c r="E787" s="505" t="str">
        <f>IFERROR(VLOOKUP(B787,[4]MasterSheet!$B$6:$N$144,10,),"N/a")</f>
        <v>g</v>
      </c>
      <c r="F787" s="506">
        <f>IFERROR(VLOOKUP(B787,MasterSheet!$B$6:$N$150,11,),"N/a")</f>
        <v>77.363636363636374</v>
      </c>
      <c r="G787" s="488">
        <f t="shared" si="200"/>
        <v>77.363636363636374</v>
      </c>
      <c r="H787" s="905"/>
      <c r="I787" s="905"/>
      <c r="J787" s="491">
        <f t="shared" si="201"/>
        <v>0</v>
      </c>
      <c r="K787" s="501">
        <f t="shared" si="202"/>
        <v>0</v>
      </c>
      <c r="L787" s="501">
        <f t="shared" si="203"/>
        <v>0</v>
      </c>
      <c r="M787" s="493"/>
      <c r="N787" s="507"/>
      <c r="O787" s="449"/>
    </row>
    <row r="788" spans="2:15" ht="14.25" hidden="1" customHeight="1" outlineLevel="1">
      <c r="B788" s="508" t="s">
        <v>1806</v>
      </c>
      <c r="C788" s="15" t="str">
        <f>IFERROR(VLOOKUP(B788,MasterSheet!$B$6:$N$150,3,),"n/a")</f>
        <v>Fried Chicken Tender</v>
      </c>
      <c r="D788" s="499">
        <v>60</v>
      </c>
      <c r="E788" s="505" t="str">
        <f>IFERROR(VLOOKUP(B788,[4]MasterSheet!$B$6:$N$144,10,),"N/a")</f>
        <v>g</v>
      </c>
      <c r="F788" s="506">
        <f>IFERROR(VLOOKUP(B788,MasterSheet!$B$6:$N$150,11,),"N/a")</f>
        <v>106.9999</v>
      </c>
      <c r="G788" s="488">
        <f t="shared" si="200"/>
        <v>6419.9939999999997</v>
      </c>
      <c r="H788" s="905"/>
      <c r="I788" s="905"/>
      <c r="J788" s="491">
        <f t="shared" si="201"/>
        <v>0</v>
      </c>
      <c r="K788" s="501">
        <f t="shared" si="202"/>
        <v>0</v>
      </c>
      <c r="L788" s="501">
        <f t="shared" si="203"/>
        <v>0</v>
      </c>
      <c r="M788" s="493"/>
      <c r="N788" s="507"/>
      <c r="O788" s="449"/>
    </row>
    <row r="789" spans="2:15" ht="14.25" hidden="1" customHeight="1" outlineLevel="1">
      <c r="B789" s="508" t="s">
        <v>139</v>
      </c>
      <c r="C789" s="15" t="str">
        <f>IFERROR(VLOOKUP(B789,MasterSheet!$B$6:$N$150,3,),"n/a")</f>
        <v>KEWPIE CHEF STYLE MAYO</v>
      </c>
      <c r="D789" s="499">
        <v>10</v>
      </c>
      <c r="E789" s="505" t="str">
        <f>IFERROR(VLOOKUP(B789,[4]MasterSheet!$B$6:$N$144,10,),"N/a")</f>
        <v>g</v>
      </c>
      <c r="F789" s="506">
        <f>IFERROR(VLOOKUP(B789,MasterSheet!$B$6:$N$150,11,),"N/a")</f>
        <v>48.82151515151515</v>
      </c>
      <c r="G789" s="488">
        <f t="shared" si="200"/>
        <v>488.21515151515149</v>
      </c>
      <c r="H789" s="905"/>
      <c r="I789" s="905"/>
      <c r="J789" s="491">
        <f t="shared" si="201"/>
        <v>0</v>
      </c>
      <c r="K789" s="501">
        <f t="shared" si="202"/>
        <v>0</v>
      </c>
      <c r="L789" s="501">
        <f t="shared" si="203"/>
        <v>0</v>
      </c>
      <c r="M789" s="493"/>
      <c r="N789" s="507"/>
      <c r="O789" s="449"/>
    </row>
    <row r="790" spans="2:15" ht="14.25" hidden="1" customHeight="1" outlineLevel="1">
      <c r="B790" s="509" t="s">
        <v>1363</v>
      </c>
      <c r="C790" s="15" t="str">
        <f>VLOOKUP(B790,CK!$B$8:$L$87,4,)</f>
        <v>Steamed Rice</v>
      </c>
      <c r="D790" s="510">
        <f>D784*0.21</f>
        <v>2.1</v>
      </c>
      <c r="E790" s="505" t="str">
        <f>VLOOKUP(B790,[4]CK!$B$8:$L$87,9,)</f>
        <v>g</v>
      </c>
      <c r="F790" s="506">
        <f>VLOOKUP(B790,CK!$B$8:$L$87,10,)</f>
        <v>4.833333333333333</v>
      </c>
      <c r="G790" s="488">
        <f t="shared" si="200"/>
        <v>10.15</v>
      </c>
      <c r="H790" s="905"/>
      <c r="I790" s="905"/>
      <c r="J790" s="491">
        <f t="shared" si="201"/>
        <v>0</v>
      </c>
      <c r="K790" s="501">
        <f t="shared" si="202"/>
        <v>0</v>
      </c>
      <c r="L790" s="501">
        <f t="shared" si="203"/>
        <v>0</v>
      </c>
      <c r="M790" s="493"/>
      <c r="N790" s="507"/>
      <c r="O790" s="449"/>
    </row>
    <row r="791" spans="2:15" ht="14.25" hidden="1" customHeight="1" outlineLevel="1">
      <c r="B791" s="509" t="s">
        <v>1493</v>
      </c>
      <c r="C791" s="15" t="str">
        <f>VLOOKUP(B791,CK!$B$8:$L$87,4,)</f>
        <v>Scramble egg</v>
      </c>
      <c r="D791" s="510">
        <v>163</v>
      </c>
      <c r="E791" s="505" t="str">
        <f>VLOOKUP(B791,[4]CK!$B$8:$L$87,9,)</f>
        <v>g</v>
      </c>
      <c r="F791" s="506">
        <f>VLOOKUP(B791,CK!$B$8:$L$87,10,)</f>
        <v>24.330766488413548</v>
      </c>
      <c r="G791" s="488">
        <f t="shared" si="200"/>
        <v>3965.9149376114083</v>
      </c>
      <c r="H791" s="905"/>
      <c r="I791" s="905"/>
      <c r="J791" s="491">
        <f t="shared" si="201"/>
        <v>0</v>
      </c>
      <c r="K791" s="501">
        <f t="shared" si="202"/>
        <v>0</v>
      </c>
      <c r="L791" s="501">
        <f t="shared" si="203"/>
        <v>0</v>
      </c>
      <c r="M791" s="493"/>
      <c r="N791" s="507"/>
      <c r="O791" s="449"/>
    </row>
    <row r="792" spans="2:15" ht="14.25" hidden="1" customHeight="1" outlineLevel="1">
      <c r="B792" s="523" t="s">
        <v>1072</v>
      </c>
      <c r="C792" s="15" t="str">
        <f>IFERROR(VLOOKUP(B792,MasterSheet!$B$6:$N$521,3,),"n/a")</f>
        <v>PAPERBOWL CUPBAP #720</v>
      </c>
      <c r="D792" s="510">
        <v>1</v>
      </c>
      <c r="E792" s="505" t="str">
        <f>IFERROR(VLOOKUP(B792,[4]MasterSheet!$B$6:$N$515,10,),"N/a")</f>
        <v>ea</v>
      </c>
      <c r="F792" s="506">
        <f>IFERROR(VLOOKUP(B792,MasterSheet!$B$6:$N$521,11,),"N/a")</f>
        <v>1164</v>
      </c>
      <c r="G792" s="488">
        <f t="shared" si="200"/>
        <v>1164</v>
      </c>
      <c r="H792" s="905"/>
      <c r="I792" s="905"/>
      <c r="J792" s="491">
        <f t="shared" si="201"/>
        <v>0</v>
      </c>
      <c r="K792" s="501">
        <f t="shared" si="202"/>
        <v>0</v>
      </c>
      <c r="L792" s="501">
        <f t="shared" si="203"/>
        <v>0</v>
      </c>
      <c r="M792" s="493"/>
      <c r="N792" s="507"/>
      <c r="O792" s="449"/>
    </row>
    <row r="793" spans="2:15" ht="14.65" hidden="1" customHeight="1" outlineLevel="1" thickBot="1">
      <c r="B793" s="524" t="s">
        <v>1176</v>
      </c>
      <c r="C793" s="512" t="str">
        <f>IFERROR(VLOOKUP(B793,MasterSheet!$B$6:$N$421,3,),"n/a")</f>
        <v>PAPERBOWL CUPBAP #720 LID</v>
      </c>
      <c r="D793" s="513">
        <v>1</v>
      </c>
      <c r="E793" s="514" t="str">
        <f>IFERROR(VLOOKUP(B793,[4]MasterSheet!B576:N1167,10,),"N/a")</f>
        <v>N/a</v>
      </c>
      <c r="F793" s="515">
        <f>IFERROR(VLOOKUP(B793,MasterSheet!$B$6:$N$421,11,),"N/a")</f>
        <v>428</v>
      </c>
      <c r="G793" s="516">
        <f t="shared" si="200"/>
        <v>428</v>
      </c>
      <c r="H793" s="916"/>
      <c r="I793" s="916"/>
      <c r="J793" s="517">
        <f>D793*$J$781</f>
        <v>0</v>
      </c>
      <c r="K793" s="518">
        <f>D793*$K$781</f>
        <v>0</v>
      </c>
      <c r="L793" s="518">
        <f t="shared" si="203"/>
        <v>0</v>
      </c>
      <c r="M793" s="519"/>
      <c r="N793" s="520"/>
      <c r="O793" s="449"/>
    </row>
    <row r="794" spans="2:15" collapsed="1">
      <c r="B794" s="219" t="s">
        <v>1496</v>
      </c>
      <c r="C794" s="15" t="s">
        <v>1491</v>
      </c>
      <c r="D794" s="184">
        <f>E794*(1+$E$8)</f>
        <v>42900</v>
      </c>
      <c r="E794" s="184">
        <v>39000</v>
      </c>
      <c r="F794" s="174">
        <f>H797</f>
        <v>14643.470600290831</v>
      </c>
      <c r="G794" s="489">
        <f>I797</f>
        <v>14643.470600290831</v>
      </c>
      <c r="H794" s="500">
        <f>F794/E794</f>
        <v>0.37547360513566236</v>
      </c>
      <c r="I794" s="500">
        <f>G794/E794</f>
        <v>0.37547360513566236</v>
      </c>
      <c r="J794" s="501">
        <f>VLOOKUP(B794,'SALES MIX'!B14:J104,4)</f>
        <v>1</v>
      </c>
      <c r="K794" s="501">
        <f>VLOOKUP(B794,'SALES MIX'!B14:J104,5)</f>
        <v>0</v>
      </c>
      <c r="L794" s="221">
        <f>((F794*J794)+(G794*K794))/((J794+K794)*E794)</f>
        <v>0.37547360513566236</v>
      </c>
      <c r="M794" s="493"/>
      <c r="N794" s="493"/>
      <c r="O794" s="449"/>
    </row>
    <row r="795" spans="2:15" ht="14.65" hidden="1" customHeight="1" outlineLevel="1" thickTop="1">
      <c r="B795" s="913" t="s">
        <v>608</v>
      </c>
      <c r="C795" s="914" t="s">
        <v>1305</v>
      </c>
      <c r="D795" s="915" t="s">
        <v>1306</v>
      </c>
      <c r="E795" s="915" t="s">
        <v>60</v>
      </c>
      <c r="F795" s="915" t="s">
        <v>615</v>
      </c>
      <c r="G795" s="915" t="s">
        <v>755</v>
      </c>
      <c r="H795" s="907" t="s">
        <v>1312</v>
      </c>
      <c r="I795" s="907"/>
      <c r="J795" s="907" t="s">
        <v>1319</v>
      </c>
      <c r="K795" s="907"/>
      <c r="L795" s="908" t="s">
        <v>1313</v>
      </c>
      <c r="M795" s="907" t="s">
        <v>912</v>
      </c>
      <c r="N795" s="917"/>
      <c r="O795" s="449"/>
    </row>
    <row r="796" spans="2:15" ht="14.65" hidden="1" customHeight="1" outlineLevel="1" thickBot="1">
      <c r="B796" s="894"/>
      <c r="C796" s="896"/>
      <c r="D796" s="898"/>
      <c r="E796" s="898"/>
      <c r="F796" s="898"/>
      <c r="G796" s="898"/>
      <c r="H796" s="502" t="s">
        <v>1309</v>
      </c>
      <c r="I796" s="502" t="s">
        <v>1308</v>
      </c>
      <c r="J796" s="502" t="s">
        <v>1309</v>
      </c>
      <c r="K796" s="502" t="s">
        <v>1308</v>
      </c>
      <c r="L796" s="901"/>
      <c r="M796" s="903"/>
      <c r="N796" s="904"/>
      <c r="O796" s="449"/>
    </row>
    <row r="797" spans="2:15" ht="14.25" hidden="1" customHeight="1" outlineLevel="1">
      <c r="B797" s="504" t="s">
        <v>1497</v>
      </c>
      <c r="C797" s="15" t="str">
        <f>IFERROR(VLOOKUP(B797,MasterSheet!$B$6:$N$150,3,),"n/a")</f>
        <v>Mala Hot Sauce</v>
      </c>
      <c r="D797" s="499">
        <v>10</v>
      </c>
      <c r="E797" s="505" t="str">
        <f>IFERROR(VLOOKUP(B797,[4]MasterSheet!$B$6:$N$144,10,),"N/a")</f>
        <v>g</v>
      </c>
      <c r="F797" s="506">
        <f>IFERROR(VLOOKUP(B797,MasterSheet!$B$6:$N$150,11,),"N/a")</f>
        <v>125.26041666666667</v>
      </c>
      <c r="G797" s="488">
        <f>IFERROR(D797*F797,"_")</f>
        <v>1252.6041666666667</v>
      </c>
      <c r="H797" s="905">
        <f>SUM(G797:G806)</f>
        <v>14643.470600290831</v>
      </c>
      <c r="I797" s="905">
        <f>SUM(H797:H806)</f>
        <v>14643.470600290831</v>
      </c>
      <c r="J797" s="491">
        <f>D797*$J$794</f>
        <v>10</v>
      </c>
      <c r="K797" s="501">
        <f>D797*$K$794</f>
        <v>0</v>
      </c>
      <c r="L797" s="501">
        <f>SUM(J797:K797)</f>
        <v>10</v>
      </c>
      <c r="M797" s="493"/>
      <c r="N797" s="507"/>
      <c r="O797" s="449"/>
    </row>
    <row r="798" spans="2:15" ht="14.25" hidden="1" customHeight="1" outlineLevel="1">
      <c r="B798" s="508" t="s">
        <v>1029</v>
      </c>
      <c r="C798" s="15" t="str">
        <f>IFERROR(VLOOKUP(B798,MasterSheet!$B$6:$N$150,3,),"n/a")</f>
        <v>GIMBORI (Crispy Seaweed)</v>
      </c>
      <c r="D798" s="499">
        <v>2</v>
      </c>
      <c r="E798" s="505" t="str">
        <f>IFERROR(VLOOKUP(B798,[4]MasterSheet!$B$6:$N$144,10,),"N/a")</f>
        <v>g</v>
      </c>
      <c r="F798" s="506">
        <f>IFERROR(VLOOKUP(B798,MasterSheet!$B$6:$N$150,11,),"N/a")</f>
        <v>390.90909090909093</v>
      </c>
      <c r="G798" s="488">
        <f t="shared" ref="G798:G806" si="204">IFERROR(D798*F798,"_")</f>
        <v>781.81818181818187</v>
      </c>
      <c r="H798" s="905"/>
      <c r="I798" s="905"/>
      <c r="J798" s="491">
        <f t="shared" ref="J798:J805" si="205">D798*$J$794</f>
        <v>2</v>
      </c>
      <c r="K798" s="501">
        <f t="shared" ref="K798:K805" si="206">D798*$K$794</f>
        <v>0</v>
      </c>
      <c r="L798" s="501">
        <f t="shared" ref="L798:L806" si="207">SUM(J798:K798)</f>
        <v>2</v>
      </c>
      <c r="M798" s="493"/>
      <c r="N798" s="507"/>
      <c r="O798" s="449"/>
    </row>
    <row r="799" spans="2:15" ht="14.25" hidden="1" customHeight="1" outlineLevel="1">
      <c r="B799" s="508" t="s">
        <v>767</v>
      </c>
      <c r="C799" s="15" t="str">
        <f>IFERROR(VLOOKUP(B799,MasterSheet!$B$6:$N$150,3,),"n/a")</f>
        <v>Scallion(Green Onion)</v>
      </c>
      <c r="D799" s="499">
        <v>2</v>
      </c>
      <c r="E799" s="505" t="str">
        <f>IFERROR(VLOOKUP(B799,[4]MasterSheet!$B$6:$N$144,10,),"N/a")</f>
        <v>g</v>
      </c>
      <c r="F799" s="506">
        <f>IFERROR(VLOOKUP(B799,MasterSheet!$B$6:$N$150,11,),"N/a")</f>
        <v>27.705263157894738</v>
      </c>
      <c r="G799" s="488">
        <f t="shared" si="204"/>
        <v>55.410526315789475</v>
      </c>
      <c r="H799" s="905"/>
      <c r="I799" s="905"/>
      <c r="J799" s="491">
        <f t="shared" si="205"/>
        <v>2</v>
      </c>
      <c r="K799" s="501">
        <f t="shared" si="206"/>
        <v>0</v>
      </c>
      <c r="L799" s="501">
        <f t="shared" si="207"/>
        <v>2</v>
      </c>
      <c r="M799" s="493"/>
      <c r="N799" s="507"/>
      <c r="O799" s="449"/>
    </row>
    <row r="800" spans="2:15" ht="14.25" hidden="1" customHeight="1" outlineLevel="1">
      <c r="B800" s="508" t="s">
        <v>768</v>
      </c>
      <c r="C800" s="15" t="str">
        <f>IFERROR(VLOOKUP(B800,MasterSheet!$B$6:$N$150,3,),"n/a")</f>
        <v>Sesame Seeds</v>
      </c>
      <c r="D800" s="499">
        <v>1</v>
      </c>
      <c r="E800" s="505" t="str">
        <f>IFERROR(VLOOKUP(B800,[4]MasterSheet!$B$6:$N$144,10,),"N/a")</f>
        <v>g</v>
      </c>
      <c r="F800" s="506">
        <f>IFERROR(VLOOKUP(B800,MasterSheet!$B$6:$N$150,11,),"N/a")</f>
        <v>77.363636363636374</v>
      </c>
      <c r="G800" s="488">
        <f t="shared" si="204"/>
        <v>77.363636363636374</v>
      </c>
      <c r="H800" s="905"/>
      <c r="I800" s="905"/>
      <c r="J800" s="491">
        <f t="shared" si="205"/>
        <v>1</v>
      </c>
      <c r="K800" s="501">
        <f t="shared" si="206"/>
        <v>0</v>
      </c>
      <c r="L800" s="501">
        <f t="shared" si="207"/>
        <v>1</v>
      </c>
      <c r="M800" s="493"/>
      <c r="N800" s="507"/>
      <c r="O800" s="449"/>
    </row>
    <row r="801" spans="2:15" ht="14.25" hidden="1" customHeight="1" outlineLevel="1">
      <c r="B801" s="508" t="s">
        <v>1806</v>
      </c>
      <c r="C801" s="15" t="str">
        <f>IFERROR(VLOOKUP(B801,MasterSheet!$B$6:$N$150,3,),"n/a")</f>
        <v>Fried Chicken Tender</v>
      </c>
      <c r="D801" s="499">
        <v>60</v>
      </c>
      <c r="E801" s="505" t="str">
        <f>IFERROR(VLOOKUP(B801,[4]MasterSheet!$B$6:$N$144,10,),"N/a")</f>
        <v>g</v>
      </c>
      <c r="F801" s="506">
        <f>IFERROR(VLOOKUP(B801,MasterSheet!$B$6:$N$150,11,),"N/a")</f>
        <v>106.9999</v>
      </c>
      <c r="G801" s="488">
        <f t="shared" si="204"/>
        <v>6419.9939999999997</v>
      </c>
      <c r="H801" s="905"/>
      <c r="I801" s="905"/>
      <c r="J801" s="491">
        <f t="shared" si="205"/>
        <v>60</v>
      </c>
      <c r="K801" s="501">
        <f t="shared" si="206"/>
        <v>0</v>
      </c>
      <c r="L801" s="501">
        <f t="shared" si="207"/>
        <v>60</v>
      </c>
      <c r="M801" s="493"/>
      <c r="N801" s="507"/>
      <c r="O801" s="449"/>
    </row>
    <row r="802" spans="2:15" ht="14.25" hidden="1" customHeight="1" outlineLevel="1">
      <c r="B802" s="508" t="s">
        <v>139</v>
      </c>
      <c r="C802" s="15" t="str">
        <f>IFERROR(VLOOKUP(B802,MasterSheet!$B$6:$N$150,3,),"n/a")</f>
        <v>KEWPIE CHEF STYLE MAYO</v>
      </c>
      <c r="D802" s="499">
        <v>10</v>
      </c>
      <c r="E802" s="505" t="str">
        <f>IFERROR(VLOOKUP(B802,[4]MasterSheet!$B$6:$N$144,10,),"N/a")</f>
        <v>g</v>
      </c>
      <c r="F802" s="506">
        <f>IFERROR(VLOOKUP(B802,MasterSheet!$B$6:$N$150,11,),"N/a")</f>
        <v>48.82151515151515</v>
      </c>
      <c r="G802" s="488">
        <f t="shared" si="204"/>
        <v>488.21515151515149</v>
      </c>
      <c r="H802" s="905"/>
      <c r="I802" s="905"/>
      <c r="J802" s="491">
        <f t="shared" si="205"/>
        <v>10</v>
      </c>
      <c r="K802" s="501">
        <f t="shared" si="206"/>
        <v>0</v>
      </c>
      <c r="L802" s="501">
        <f t="shared" si="207"/>
        <v>10</v>
      </c>
      <c r="M802" s="493"/>
      <c r="N802" s="507"/>
      <c r="O802" s="449"/>
    </row>
    <row r="803" spans="2:15" ht="14.25" hidden="1" customHeight="1" outlineLevel="1">
      <c r="B803" s="509" t="s">
        <v>1363</v>
      </c>
      <c r="C803" s="15" t="str">
        <f>VLOOKUP(B803,CK!$B$8:$L$87,4,)</f>
        <v>Steamed Rice</v>
      </c>
      <c r="D803" s="510">
        <f>D797*0.21</f>
        <v>2.1</v>
      </c>
      <c r="E803" s="505" t="str">
        <f>VLOOKUP(B803,[4]CK!$B$8:$L$87,9,)</f>
        <v>g</v>
      </c>
      <c r="F803" s="506">
        <f>VLOOKUP(B803,CK!$B$8:$L$87,10,)</f>
        <v>4.833333333333333</v>
      </c>
      <c r="G803" s="488">
        <f t="shared" si="204"/>
        <v>10.15</v>
      </c>
      <c r="H803" s="905"/>
      <c r="I803" s="905"/>
      <c r="J803" s="491">
        <f t="shared" si="205"/>
        <v>2.1</v>
      </c>
      <c r="K803" s="501">
        <f t="shared" si="206"/>
        <v>0</v>
      </c>
      <c r="L803" s="501">
        <f t="shared" si="207"/>
        <v>2.1</v>
      </c>
      <c r="M803" s="493"/>
      <c r="N803" s="507"/>
      <c r="O803" s="449"/>
    </row>
    <row r="804" spans="2:15" ht="14.25" hidden="1" customHeight="1" outlineLevel="1">
      <c r="B804" s="509" t="s">
        <v>1493</v>
      </c>
      <c r="C804" s="15" t="str">
        <f>VLOOKUP(B804,CK!$B$8:$L$87,4,)</f>
        <v>Scramble egg</v>
      </c>
      <c r="D804" s="510">
        <v>163</v>
      </c>
      <c r="E804" s="505" t="str">
        <f>VLOOKUP(B804,[4]CK!$B$8:$L$87,9,)</f>
        <v>g</v>
      </c>
      <c r="F804" s="506">
        <f>VLOOKUP(B804,CK!$B$8:$L$87,10,)</f>
        <v>24.330766488413548</v>
      </c>
      <c r="G804" s="488">
        <f t="shared" si="204"/>
        <v>3965.9149376114083</v>
      </c>
      <c r="H804" s="905"/>
      <c r="I804" s="905"/>
      <c r="J804" s="491">
        <f t="shared" si="205"/>
        <v>163</v>
      </c>
      <c r="K804" s="501">
        <f t="shared" si="206"/>
        <v>0</v>
      </c>
      <c r="L804" s="501">
        <f t="shared" si="207"/>
        <v>163</v>
      </c>
      <c r="M804" s="493"/>
      <c r="N804" s="507"/>
      <c r="O804" s="449"/>
    </row>
    <row r="805" spans="2:15" ht="14.25" hidden="1" customHeight="1" outlineLevel="1">
      <c r="B805" s="523" t="s">
        <v>1072</v>
      </c>
      <c r="C805" s="15" t="str">
        <f>IFERROR(VLOOKUP(B805,MasterSheet!$B$6:$N$521,3,),"n/a")</f>
        <v>PAPERBOWL CUPBAP #720</v>
      </c>
      <c r="D805" s="510">
        <v>1</v>
      </c>
      <c r="E805" s="505" t="str">
        <f>IFERROR(VLOOKUP(B805,[4]MasterSheet!$B$6:$N$515,10,),"N/a")</f>
        <v>ea</v>
      </c>
      <c r="F805" s="506">
        <f>IFERROR(VLOOKUP(B805,MasterSheet!$B$6:$N$521,11,),"N/a")</f>
        <v>1164</v>
      </c>
      <c r="G805" s="488">
        <f t="shared" si="204"/>
        <v>1164</v>
      </c>
      <c r="H805" s="905"/>
      <c r="I805" s="905"/>
      <c r="J805" s="491">
        <f t="shared" si="205"/>
        <v>1</v>
      </c>
      <c r="K805" s="501">
        <f t="shared" si="206"/>
        <v>0</v>
      </c>
      <c r="L805" s="501">
        <f t="shared" si="207"/>
        <v>1</v>
      </c>
      <c r="M805" s="493"/>
      <c r="N805" s="507"/>
      <c r="O805" s="449"/>
    </row>
    <row r="806" spans="2:15" ht="14.65" hidden="1" customHeight="1" outlineLevel="1" thickBot="1">
      <c r="B806" s="524" t="s">
        <v>1176</v>
      </c>
      <c r="C806" s="512" t="str">
        <f>IFERROR(VLOOKUP(B806,MasterSheet!$B$6:$N$421,3,),"n/a")</f>
        <v>PAPERBOWL CUPBAP #720 LID</v>
      </c>
      <c r="D806" s="513">
        <v>1</v>
      </c>
      <c r="E806" s="514" t="str">
        <f>IFERROR(VLOOKUP(B806,[4]MasterSheet!B589:N1180,10,),"N/a")</f>
        <v>N/a</v>
      </c>
      <c r="F806" s="515">
        <f>IFERROR(VLOOKUP(B806,MasterSheet!$B$6:$N$421,11,),"N/a")</f>
        <v>428</v>
      </c>
      <c r="G806" s="516">
        <f t="shared" si="204"/>
        <v>428</v>
      </c>
      <c r="H806" s="916"/>
      <c r="I806" s="916"/>
      <c r="J806" s="517">
        <f>D806*$J$794</f>
        <v>1</v>
      </c>
      <c r="K806" s="518">
        <f>D806*$K$794</f>
        <v>0</v>
      </c>
      <c r="L806" s="518">
        <f t="shared" si="207"/>
        <v>1</v>
      </c>
      <c r="M806" s="519"/>
      <c r="N806" s="520"/>
      <c r="O806" s="449"/>
    </row>
    <row r="807" spans="2:15" collapsed="1">
      <c r="B807" s="219" t="s">
        <v>1500</v>
      </c>
      <c r="C807" s="15" t="s">
        <v>1499</v>
      </c>
      <c r="D807" s="184">
        <f>E807*(1+$E$8)</f>
        <v>42900</v>
      </c>
      <c r="E807" s="184">
        <v>39000</v>
      </c>
      <c r="F807" s="174">
        <f>H810</f>
        <v>14518.210183624167</v>
      </c>
      <c r="G807" s="489">
        <f>I810</f>
        <v>14518.210183624167</v>
      </c>
      <c r="H807" s="500">
        <f>F807/E807</f>
        <v>0.37226179958010686</v>
      </c>
      <c r="I807" s="500">
        <f>G807/E807</f>
        <v>0.37226179958010686</v>
      </c>
      <c r="J807" s="501">
        <f>VLOOKUP(B807,'SALES MIX'!B14:J104,4)</f>
        <v>2</v>
      </c>
      <c r="K807" s="501">
        <f>VLOOKUP(B807,'SALES MIX'!B14:J104,5)</f>
        <v>1</v>
      </c>
      <c r="L807" s="221">
        <f>((F807*J807)+(G807*K807))/((J807+K807)*E807)</f>
        <v>0.37226179958010691</v>
      </c>
      <c r="M807" s="493"/>
      <c r="N807" s="493"/>
      <c r="O807" s="449"/>
    </row>
    <row r="808" spans="2:15" ht="14.65" hidden="1" customHeight="1" outlineLevel="1" thickTop="1">
      <c r="B808" s="913" t="s">
        <v>608</v>
      </c>
      <c r="C808" s="914" t="s">
        <v>1305</v>
      </c>
      <c r="D808" s="915" t="s">
        <v>1306</v>
      </c>
      <c r="E808" s="915" t="s">
        <v>60</v>
      </c>
      <c r="F808" s="915" t="s">
        <v>615</v>
      </c>
      <c r="G808" s="915" t="s">
        <v>755</v>
      </c>
      <c r="H808" s="907" t="s">
        <v>1312</v>
      </c>
      <c r="I808" s="907"/>
      <c r="J808" s="907" t="s">
        <v>1319</v>
      </c>
      <c r="K808" s="907"/>
      <c r="L808" s="908" t="s">
        <v>1313</v>
      </c>
      <c r="M808" s="907" t="s">
        <v>912</v>
      </c>
      <c r="N808" s="917"/>
      <c r="O808" s="449"/>
    </row>
    <row r="809" spans="2:15" ht="14.65" hidden="1" customHeight="1" outlineLevel="1" thickBot="1">
      <c r="B809" s="894"/>
      <c r="C809" s="896"/>
      <c r="D809" s="898"/>
      <c r="E809" s="898"/>
      <c r="F809" s="898"/>
      <c r="G809" s="898"/>
      <c r="H809" s="502" t="s">
        <v>1309</v>
      </c>
      <c r="I809" s="502" t="s">
        <v>1308</v>
      </c>
      <c r="J809" s="502" t="s">
        <v>1309</v>
      </c>
      <c r="K809" s="502" t="s">
        <v>1308</v>
      </c>
      <c r="L809" s="901"/>
      <c r="M809" s="903"/>
      <c r="N809" s="904"/>
      <c r="O809" s="449"/>
    </row>
    <row r="810" spans="2:15" ht="14.25" hidden="1" customHeight="1" outlineLevel="1">
      <c r="B810" s="504" t="s">
        <v>1501</v>
      </c>
      <c r="C810" s="15" t="str">
        <f>IFERROR(VLOOKUP(B810,MasterSheet!$B$6:$N$150,3,),"n/a")</f>
        <v>Garlic Flavour Soy Sauce</v>
      </c>
      <c r="D810" s="499">
        <v>10</v>
      </c>
      <c r="E810" s="505" t="str">
        <f>IFERROR(VLOOKUP(B810,[4]MasterSheet!$B$6:$N$144,10,),"N/a")</f>
        <v>g</v>
      </c>
      <c r="F810" s="506">
        <f>IFERROR(VLOOKUP(B810,MasterSheet!$B$6:$N$150,11,),"N/a")</f>
        <v>112.734375</v>
      </c>
      <c r="G810" s="488">
        <f>IFERROR(D810*F810,"_")</f>
        <v>1127.34375</v>
      </c>
      <c r="H810" s="905">
        <f>SUM(G810:G819)</f>
        <v>14518.210183624167</v>
      </c>
      <c r="I810" s="905">
        <f>SUM(H810:H819)</f>
        <v>14518.210183624167</v>
      </c>
      <c r="J810" s="491">
        <f>D810*$J$807</f>
        <v>20</v>
      </c>
      <c r="K810" s="501">
        <f>D810*$K$807</f>
        <v>10</v>
      </c>
      <c r="L810" s="501">
        <f>SUM(J810:K810)</f>
        <v>30</v>
      </c>
      <c r="M810" s="493"/>
      <c r="N810" s="507"/>
      <c r="O810" s="449"/>
    </row>
    <row r="811" spans="2:15" ht="14.25" hidden="1" customHeight="1" outlineLevel="1">
      <c r="B811" s="508" t="s">
        <v>1029</v>
      </c>
      <c r="C811" s="15" t="str">
        <f>IFERROR(VLOOKUP(B811,MasterSheet!$B$6:$N$150,3,),"n/a")</f>
        <v>GIMBORI (Crispy Seaweed)</v>
      </c>
      <c r="D811" s="499">
        <v>2</v>
      </c>
      <c r="E811" s="505" t="str">
        <f>IFERROR(VLOOKUP(B811,[4]MasterSheet!$B$6:$N$144,10,),"N/a")</f>
        <v>g</v>
      </c>
      <c r="F811" s="506">
        <f>IFERROR(VLOOKUP(B811,MasterSheet!$B$6:$N$150,11,),"N/a")</f>
        <v>390.90909090909093</v>
      </c>
      <c r="G811" s="488">
        <f t="shared" ref="G811:G819" si="208">IFERROR(D811*F811,"_")</f>
        <v>781.81818181818187</v>
      </c>
      <c r="H811" s="905"/>
      <c r="I811" s="905"/>
      <c r="J811" s="491">
        <f t="shared" ref="J811:J818" si="209">D811*$J$807</f>
        <v>4</v>
      </c>
      <c r="K811" s="501">
        <f t="shared" ref="K811:K818" si="210">D811*$K$807</f>
        <v>2</v>
      </c>
      <c r="L811" s="501">
        <f t="shared" ref="L811:L819" si="211">SUM(J811:K811)</f>
        <v>6</v>
      </c>
      <c r="M811" s="493"/>
      <c r="N811" s="507"/>
      <c r="O811" s="449"/>
    </row>
    <row r="812" spans="2:15" ht="14.25" hidden="1" customHeight="1" outlineLevel="1">
      <c r="B812" s="508" t="s">
        <v>767</v>
      </c>
      <c r="C812" s="15" t="str">
        <f>IFERROR(VLOOKUP(B812,MasterSheet!$B$6:$N$150,3,),"n/a")</f>
        <v>Scallion(Green Onion)</v>
      </c>
      <c r="D812" s="499">
        <v>2</v>
      </c>
      <c r="E812" s="505" t="str">
        <f>IFERROR(VLOOKUP(B812,[4]MasterSheet!$B$6:$N$144,10,),"N/a")</f>
        <v>g</v>
      </c>
      <c r="F812" s="506">
        <f>IFERROR(VLOOKUP(B812,MasterSheet!$B$6:$N$150,11,),"N/a")</f>
        <v>27.705263157894738</v>
      </c>
      <c r="G812" s="488">
        <f t="shared" si="208"/>
        <v>55.410526315789475</v>
      </c>
      <c r="H812" s="905"/>
      <c r="I812" s="905"/>
      <c r="J812" s="491">
        <f t="shared" si="209"/>
        <v>4</v>
      </c>
      <c r="K812" s="501">
        <f t="shared" si="210"/>
        <v>2</v>
      </c>
      <c r="L812" s="501">
        <f t="shared" si="211"/>
        <v>6</v>
      </c>
      <c r="M812" s="493"/>
      <c r="N812" s="507"/>
      <c r="O812" s="449"/>
    </row>
    <row r="813" spans="2:15" ht="14.25" hidden="1" customHeight="1" outlineLevel="1">
      <c r="B813" s="508" t="s">
        <v>768</v>
      </c>
      <c r="C813" s="15" t="str">
        <f>IFERROR(VLOOKUP(B813,MasterSheet!$B$6:$N$150,3,),"n/a")</f>
        <v>Sesame Seeds</v>
      </c>
      <c r="D813" s="499">
        <v>1</v>
      </c>
      <c r="E813" s="505" t="str">
        <f>IFERROR(VLOOKUP(B813,[4]MasterSheet!$B$6:$N$144,10,),"N/a")</f>
        <v>g</v>
      </c>
      <c r="F813" s="506">
        <f>IFERROR(VLOOKUP(B813,MasterSheet!$B$6:$N$150,11,),"N/a")</f>
        <v>77.363636363636374</v>
      </c>
      <c r="G813" s="488">
        <f t="shared" si="208"/>
        <v>77.363636363636374</v>
      </c>
      <c r="H813" s="905"/>
      <c r="I813" s="905"/>
      <c r="J813" s="491">
        <f t="shared" si="209"/>
        <v>2</v>
      </c>
      <c r="K813" s="501">
        <f t="shared" si="210"/>
        <v>1</v>
      </c>
      <c r="L813" s="501">
        <f t="shared" si="211"/>
        <v>3</v>
      </c>
      <c r="M813" s="493"/>
      <c r="N813" s="507"/>
      <c r="O813" s="449"/>
    </row>
    <row r="814" spans="2:15" ht="14.25" hidden="1" customHeight="1" outlineLevel="1">
      <c r="B814" s="508" t="s">
        <v>1806</v>
      </c>
      <c r="C814" s="15" t="str">
        <f>IFERROR(VLOOKUP(B814,MasterSheet!$B$6:$N$150,3,),"n/a")</f>
        <v>Fried Chicken Tender</v>
      </c>
      <c r="D814" s="499">
        <v>60</v>
      </c>
      <c r="E814" s="505" t="str">
        <f>IFERROR(VLOOKUP(B814,[4]MasterSheet!$B$6:$N$144,10,),"N/a")</f>
        <v>g</v>
      </c>
      <c r="F814" s="506">
        <f>IFERROR(VLOOKUP(B814,MasterSheet!$B$6:$N$150,11,),"N/a")</f>
        <v>106.9999</v>
      </c>
      <c r="G814" s="488">
        <f t="shared" si="208"/>
        <v>6419.9939999999997</v>
      </c>
      <c r="H814" s="905"/>
      <c r="I814" s="905"/>
      <c r="J814" s="491">
        <f t="shared" si="209"/>
        <v>120</v>
      </c>
      <c r="K814" s="501">
        <f t="shared" si="210"/>
        <v>60</v>
      </c>
      <c r="L814" s="501">
        <f t="shared" si="211"/>
        <v>180</v>
      </c>
      <c r="M814" s="493"/>
      <c r="N814" s="507"/>
      <c r="O814" s="449"/>
    </row>
    <row r="815" spans="2:15" ht="14.25" hidden="1" customHeight="1" outlineLevel="1">
      <c r="B815" s="508" t="s">
        <v>139</v>
      </c>
      <c r="C815" s="15" t="str">
        <f>IFERROR(VLOOKUP(B815,MasterSheet!$B$6:$N$150,3,),"n/a")</f>
        <v>KEWPIE CHEF STYLE MAYO</v>
      </c>
      <c r="D815" s="499">
        <v>10</v>
      </c>
      <c r="E815" s="505" t="str">
        <f>IFERROR(VLOOKUP(B815,[4]MasterSheet!$B$6:$N$144,10,),"N/a")</f>
        <v>g</v>
      </c>
      <c r="F815" s="506">
        <f>IFERROR(VLOOKUP(B815,MasterSheet!$B$6:$N$150,11,),"N/a")</f>
        <v>48.82151515151515</v>
      </c>
      <c r="G815" s="488">
        <f t="shared" si="208"/>
        <v>488.21515151515149</v>
      </c>
      <c r="H815" s="905"/>
      <c r="I815" s="905"/>
      <c r="J815" s="491">
        <f t="shared" si="209"/>
        <v>20</v>
      </c>
      <c r="K815" s="501">
        <f t="shared" si="210"/>
        <v>10</v>
      </c>
      <c r="L815" s="501">
        <f t="shared" si="211"/>
        <v>30</v>
      </c>
      <c r="M815" s="493"/>
      <c r="N815" s="507"/>
      <c r="O815" s="449"/>
    </row>
    <row r="816" spans="2:15" ht="14.25" hidden="1" customHeight="1" outlineLevel="1">
      <c r="B816" s="509" t="s">
        <v>1363</v>
      </c>
      <c r="C816" s="15" t="str">
        <f>VLOOKUP(B816,CK!$B$8:$L$87,4,)</f>
        <v>Steamed Rice</v>
      </c>
      <c r="D816" s="510">
        <f>D810*0.21</f>
        <v>2.1</v>
      </c>
      <c r="E816" s="505" t="str">
        <f>VLOOKUP(B816,[4]CK!$B$8:$L$87,9,)</f>
        <v>g</v>
      </c>
      <c r="F816" s="506">
        <f>VLOOKUP(B816,CK!$B$8:$L$87,10,)</f>
        <v>4.833333333333333</v>
      </c>
      <c r="G816" s="488">
        <f t="shared" si="208"/>
        <v>10.15</v>
      </c>
      <c r="H816" s="905"/>
      <c r="I816" s="905"/>
      <c r="J816" s="491">
        <f t="shared" si="209"/>
        <v>4.2</v>
      </c>
      <c r="K816" s="501">
        <f t="shared" si="210"/>
        <v>2.1</v>
      </c>
      <c r="L816" s="501">
        <f t="shared" si="211"/>
        <v>6.3000000000000007</v>
      </c>
      <c r="M816" s="493"/>
      <c r="N816" s="507"/>
      <c r="O816" s="449"/>
    </row>
    <row r="817" spans="2:15" ht="14.25" hidden="1" customHeight="1" outlineLevel="1">
      <c r="B817" s="509" t="s">
        <v>1493</v>
      </c>
      <c r="C817" s="15" t="str">
        <f>VLOOKUP(B817,CK!$B$8:$L$87,4,)</f>
        <v>Scramble egg</v>
      </c>
      <c r="D817" s="510">
        <v>163</v>
      </c>
      <c r="E817" s="505" t="str">
        <f>VLOOKUP(B817,[4]CK!$B$8:$L$87,9,)</f>
        <v>g</v>
      </c>
      <c r="F817" s="506">
        <f>VLOOKUP(B817,CK!$B$8:$L$87,10,)</f>
        <v>24.330766488413548</v>
      </c>
      <c r="G817" s="488">
        <f t="shared" si="208"/>
        <v>3965.9149376114083</v>
      </c>
      <c r="H817" s="905"/>
      <c r="I817" s="905"/>
      <c r="J817" s="491">
        <f t="shared" si="209"/>
        <v>326</v>
      </c>
      <c r="K817" s="501">
        <f t="shared" si="210"/>
        <v>163</v>
      </c>
      <c r="L817" s="501">
        <f t="shared" si="211"/>
        <v>489</v>
      </c>
      <c r="M817" s="493"/>
      <c r="N817" s="507"/>
      <c r="O817" s="449"/>
    </row>
    <row r="818" spans="2:15" ht="14.25" hidden="1" customHeight="1" outlineLevel="1">
      <c r="B818" s="523" t="s">
        <v>1072</v>
      </c>
      <c r="C818" s="15" t="str">
        <f>IFERROR(VLOOKUP(B818,MasterSheet!$B$6:$N$521,3,),"n/a")</f>
        <v>PAPERBOWL CUPBAP #720</v>
      </c>
      <c r="D818" s="510">
        <v>1</v>
      </c>
      <c r="E818" s="505" t="str">
        <f>IFERROR(VLOOKUP(B818,[4]MasterSheet!$B$6:$N$515,10,),"N/a")</f>
        <v>ea</v>
      </c>
      <c r="F818" s="506">
        <f>IFERROR(VLOOKUP(B818,MasterSheet!$B$6:$N$521,11,),"N/a")</f>
        <v>1164</v>
      </c>
      <c r="G818" s="488">
        <f t="shared" si="208"/>
        <v>1164</v>
      </c>
      <c r="H818" s="905"/>
      <c r="I818" s="905"/>
      <c r="J818" s="491">
        <f t="shared" si="209"/>
        <v>2</v>
      </c>
      <c r="K818" s="501">
        <f t="shared" si="210"/>
        <v>1</v>
      </c>
      <c r="L818" s="501">
        <f t="shared" si="211"/>
        <v>3</v>
      </c>
      <c r="M818" s="493"/>
      <c r="N818" s="507"/>
      <c r="O818" s="449"/>
    </row>
    <row r="819" spans="2:15" ht="14.65" hidden="1" customHeight="1" outlineLevel="1" thickBot="1">
      <c r="B819" s="524" t="s">
        <v>1176</v>
      </c>
      <c r="C819" s="512" t="str">
        <f>IFERROR(VLOOKUP(B819,MasterSheet!$B$6:$N$421,3,),"n/a")</f>
        <v>PAPERBOWL CUPBAP #720 LID</v>
      </c>
      <c r="D819" s="513">
        <v>1</v>
      </c>
      <c r="E819" s="514" t="str">
        <f>IFERROR(VLOOKUP(B819,[4]MasterSheet!B602:N1193,10,),"N/a")</f>
        <v>N/a</v>
      </c>
      <c r="F819" s="515">
        <f>IFERROR(VLOOKUP(B819,MasterSheet!$B$6:$N$421,11,),"N/a")</f>
        <v>428</v>
      </c>
      <c r="G819" s="516">
        <f t="shared" si="208"/>
        <v>428</v>
      </c>
      <c r="H819" s="916"/>
      <c r="I819" s="916"/>
      <c r="J819" s="517">
        <f>D819*$J$807</f>
        <v>2</v>
      </c>
      <c r="K819" s="518">
        <f>D819*$K$807</f>
        <v>1</v>
      </c>
      <c r="L819" s="518">
        <f t="shared" si="211"/>
        <v>3</v>
      </c>
      <c r="M819" s="519"/>
      <c r="N819" s="520"/>
      <c r="O819" s="449"/>
    </row>
    <row r="820" spans="2:15" collapsed="1">
      <c r="B820" s="219" t="s">
        <v>1502</v>
      </c>
      <c r="C820" s="15" t="s">
        <v>1503</v>
      </c>
      <c r="D820" s="184">
        <f>E820*(1+$E$8)</f>
        <v>31900.000000000004</v>
      </c>
      <c r="E820" s="184">
        <v>29000</v>
      </c>
      <c r="F820" s="174">
        <f>H823</f>
        <v>9665.0373994982256</v>
      </c>
      <c r="G820" s="489">
        <f>I823</f>
        <v>9665.0373994982256</v>
      </c>
      <c r="H820" s="500">
        <f>F820/E820</f>
        <v>0.33327715170683536</v>
      </c>
      <c r="I820" s="500">
        <f>G820/E820</f>
        <v>0.33327715170683536</v>
      </c>
      <c r="J820" s="501">
        <f>VLOOKUP(B820,'SALES MIX'!B14:J104,4)</f>
        <v>82</v>
      </c>
      <c r="K820" s="501">
        <f>VLOOKUP(B820,'SALES MIX'!B14:J104,5)</f>
        <v>26</v>
      </c>
      <c r="L820" s="221">
        <f>((F820*J820)+(G820*K820))/((J820+K820)*E820)</f>
        <v>0.33327715170683536</v>
      </c>
      <c r="M820" s="493"/>
      <c r="N820" s="493"/>
      <c r="O820" s="449"/>
    </row>
    <row r="821" spans="2:15" ht="14.65" hidden="1" customHeight="1" outlineLevel="1" thickTop="1">
      <c r="B821" s="913" t="s">
        <v>608</v>
      </c>
      <c r="C821" s="914" t="s">
        <v>1305</v>
      </c>
      <c r="D821" s="915" t="s">
        <v>1306</v>
      </c>
      <c r="E821" s="915" t="s">
        <v>60</v>
      </c>
      <c r="F821" s="915" t="s">
        <v>615</v>
      </c>
      <c r="G821" s="915" t="s">
        <v>755</v>
      </c>
      <c r="H821" s="907" t="s">
        <v>1312</v>
      </c>
      <c r="I821" s="907"/>
      <c r="J821" s="907" t="s">
        <v>1319</v>
      </c>
      <c r="K821" s="907"/>
      <c r="L821" s="908" t="s">
        <v>1313</v>
      </c>
      <c r="M821" s="907" t="s">
        <v>912</v>
      </c>
      <c r="N821" s="917"/>
      <c r="O821" s="449"/>
    </row>
    <row r="822" spans="2:15" ht="14.65" hidden="1" customHeight="1" outlineLevel="1" thickBot="1">
      <c r="B822" s="894"/>
      <c r="C822" s="896"/>
      <c r="D822" s="898"/>
      <c r="E822" s="898"/>
      <c r="F822" s="898"/>
      <c r="G822" s="898"/>
      <c r="H822" s="502" t="s">
        <v>1309</v>
      </c>
      <c r="I822" s="502" t="s">
        <v>1308</v>
      </c>
      <c r="J822" s="502" t="s">
        <v>1309</v>
      </c>
      <c r="K822" s="502" t="s">
        <v>1308</v>
      </c>
      <c r="L822" s="901"/>
      <c r="M822" s="903"/>
      <c r="N822" s="904"/>
      <c r="O822" s="449"/>
    </row>
    <row r="823" spans="2:15" ht="14.25" hidden="1" customHeight="1" outlineLevel="1">
      <c r="B823" s="509" t="s">
        <v>1413</v>
      </c>
      <c r="C823" s="15" t="str">
        <f>VLOOKUP(B823,CK!$B$8:$L$87,4,)</f>
        <v xml:space="preserve">Tteokbokki </v>
      </c>
      <c r="D823" s="510">
        <v>300</v>
      </c>
      <c r="E823" s="505" t="str">
        <f>VLOOKUP(B823,[4]CK!$B$8:$L$87,9,)</f>
        <v>g</v>
      </c>
      <c r="F823" s="506">
        <f>VLOOKUP(B823,CK!$B$8:$L$87,10,)</f>
        <v>26.910124664994086</v>
      </c>
      <c r="G823" s="488">
        <f>IFERROR(D823*F823,"_")</f>
        <v>8073.0373994982256</v>
      </c>
      <c r="H823" s="905">
        <f>SUM(G823:G825)</f>
        <v>9665.0373994982256</v>
      </c>
      <c r="I823" s="905">
        <f>SUM(H823:H825)</f>
        <v>9665.0373994982256</v>
      </c>
      <c r="J823" s="491">
        <f>D823*$J$820</f>
        <v>24600</v>
      </c>
      <c r="K823" s="501">
        <f>D823*$K$820</f>
        <v>7800</v>
      </c>
      <c r="L823" s="501">
        <f>SUM(J823:K823)</f>
        <v>32400</v>
      </c>
      <c r="M823" s="493"/>
      <c r="N823" s="507"/>
      <c r="O823" s="449"/>
    </row>
    <row r="824" spans="2:15" ht="14.25" hidden="1" customHeight="1" outlineLevel="1">
      <c r="B824" s="523" t="s">
        <v>1414</v>
      </c>
      <c r="C824" s="15" t="str">
        <f>IFERROR(VLOOKUP(B824,MasterSheet!$B$6:$N$521,3,),"n/a")</f>
        <v>PAPER BOWL PACKAGE (500ML)</v>
      </c>
      <c r="D824" s="510">
        <v>1</v>
      </c>
      <c r="E824" s="505" t="str">
        <f>IFERROR(VLOOKUP(B824,[4]MasterSheet!$B$6:$N$515,10,),"N/a")</f>
        <v>ea</v>
      </c>
      <c r="F824" s="506">
        <f>IFERROR(VLOOKUP(B824,MasterSheet!$B$6:$N$521,11,),"N/a")</f>
        <v>1164</v>
      </c>
      <c r="G824" s="488">
        <f>IFERROR(D824*F824,"_")</f>
        <v>1164</v>
      </c>
      <c r="H824" s="905"/>
      <c r="I824" s="905"/>
      <c r="J824" s="491">
        <f>D824*$J$820</f>
        <v>82</v>
      </c>
      <c r="K824" s="501">
        <f>D824*$K$820</f>
        <v>26</v>
      </c>
      <c r="L824" s="501">
        <f>SUM(J824:K824)</f>
        <v>108</v>
      </c>
      <c r="M824" s="493"/>
      <c r="N824" s="507"/>
      <c r="O824" s="449"/>
    </row>
    <row r="825" spans="2:15" ht="14.65" hidden="1" customHeight="1" outlineLevel="1" thickBot="1">
      <c r="B825" s="532" t="s">
        <v>1415</v>
      </c>
      <c r="C825" s="28" t="str">
        <f>IFERROR(VLOOKUP(B825,MasterSheet!$B$6:$N$521,3,),"n/a")</f>
        <v>PAPER BOWL PACKAGE (500ML) LID</v>
      </c>
      <c r="D825" s="533">
        <v>1</v>
      </c>
      <c r="E825" s="534" t="str">
        <f>IFERROR(VLOOKUP(B825,[4]MasterSheet!$B$6:$N$515,10,),"N/a")</f>
        <v>ea</v>
      </c>
      <c r="F825" s="535">
        <f>IFERROR(VLOOKUP(B825,MasterSheet!$B$6:$N$521,11,),"N/a")</f>
        <v>428</v>
      </c>
      <c r="G825" s="536">
        <f>IFERROR(D825*F825,"_")</f>
        <v>428</v>
      </c>
      <c r="H825" s="906"/>
      <c r="I825" s="906"/>
      <c r="J825" s="528">
        <f>D825*$J$820</f>
        <v>82</v>
      </c>
      <c r="K825" s="529">
        <f>D825*$K$820</f>
        <v>26</v>
      </c>
      <c r="L825" s="529">
        <f>SUM(J825:K825)</f>
        <v>108</v>
      </c>
      <c r="M825" s="530"/>
      <c r="N825" s="531"/>
      <c r="O825" s="449"/>
    </row>
    <row r="826" spans="2:15" collapsed="1">
      <c r="B826" s="219" t="s">
        <v>1506</v>
      </c>
      <c r="C826" s="15" t="s">
        <v>1505</v>
      </c>
      <c r="D826" s="184">
        <f>E826*(1+$E$8)</f>
        <v>42900</v>
      </c>
      <c r="E826" s="184">
        <v>39000</v>
      </c>
      <c r="F826" s="174">
        <f>H829</f>
        <v>8517.3853358231281</v>
      </c>
      <c r="G826" s="489">
        <f>I829</f>
        <v>8517.3853358231281</v>
      </c>
      <c r="H826" s="500">
        <f>F826/E826</f>
        <v>0.21839449579033662</v>
      </c>
      <c r="I826" s="500">
        <f>G826/E826</f>
        <v>0.21839449579033662</v>
      </c>
      <c r="J826" s="501">
        <f>VLOOKUP(B826,'SALES MIX'!B14:J104,4)</f>
        <v>56</v>
      </c>
      <c r="K826" s="501">
        <f>VLOOKUP(B826,'SALES MIX'!B14:J104,5)</f>
        <v>20</v>
      </c>
      <c r="L826" s="221">
        <f>((F826*J826)+(G826*K826))/((J826+K826)*E826)</f>
        <v>0.21839449579033665</v>
      </c>
      <c r="M826" s="493"/>
      <c r="N826" s="493"/>
      <c r="O826" s="449"/>
    </row>
    <row r="827" spans="2:15" ht="14.65" hidden="1" customHeight="1" outlineLevel="1" thickTop="1">
      <c r="B827" s="913" t="s">
        <v>608</v>
      </c>
      <c r="C827" s="914" t="s">
        <v>1305</v>
      </c>
      <c r="D827" s="915" t="s">
        <v>1306</v>
      </c>
      <c r="E827" s="915" t="s">
        <v>60</v>
      </c>
      <c r="F827" s="915" t="s">
        <v>615</v>
      </c>
      <c r="G827" s="915" t="s">
        <v>755</v>
      </c>
      <c r="H827" s="907" t="s">
        <v>1312</v>
      </c>
      <c r="I827" s="907"/>
      <c r="J827" s="907" t="s">
        <v>1319</v>
      </c>
      <c r="K827" s="907"/>
      <c r="L827" s="908" t="s">
        <v>1313</v>
      </c>
      <c r="M827" s="907" t="s">
        <v>912</v>
      </c>
      <c r="N827" s="917"/>
      <c r="O827" s="449"/>
    </row>
    <row r="828" spans="2:15" ht="14.65" hidden="1" customHeight="1" outlineLevel="1" thickBot="1">
      <c r="B828" s="894"/>
      <c r="C828" s="896"/>
      <c r="D828" s="898"/>
      <c r="E828" s="898"/>
      <c r="F828" s="898"/>
      <c r="G828" s="898"/>
      <c r="H828" s="502" t="s">
        <v>1309</v>
      </c>
      <c r="I828" s="502" t="s">
        <v>1308</v>
      </c>
      <c r="J828" s="502" t="s">
        <v>1309</v>
      </c>
      <c r="K828" s="502" t="s">
        <v>1308</v>
      </c>
      <c r="L828" s="901"/>
      <c r="M828" s="903"/>
      <c r="N828" s="904"/>
      <c r="O828" s="449"/>
    </row>
    <row r="829" spans="2:15" ht="14.25" hidden="1" customHeight="1" outlineLevel="1">
      <c r="B829" s="509" t="s">
        <v>1781</v>
      </c>
      <c r="C829" s="15" t="str">
        <f>VLOOKUP(B829,CK!$B$8:$L$87,4,)</f>
        <v>Rose Tteokbokki</v>
      </c>
      <c r="D829" s="510">
        <v>163</v>
      </c>
      <c r="E829" s="505" t="str">
        <f>VLOOKUP(B829,[4]CK!$B$8:$L$87,9,)</f>
        <v>g</v>
      </c>
      <c r="F829" s="506">
        <f>VLOOKUP(B829,CK!$B$8:$L$87,10,)</f>
        <v>42.487026600141888</v>
      </c>
      <c r="G829" s="488">
        <f>IFERROR(D829*F829,"_")</f>
        <v>6925.3853358231281</v>
      </c>
      <c r="H829" s="905">
        <f>SUM(G829:G831)</f>
        <v>8517.3853358231281</v>
      </c>
      <c r="I829" s="905">
        <f>SUM(G829:G831)</f>
        <v>8517.3853358231281</v>
      </c>
      <c r="J829" s="491">
        <f>D829*$J$826</f>
        <v>9128</v>
      </c>
      <c r="K829" s="501">
        <f>D829*$K$826</f>
        <v>3260</v>
      </c>
      <c r="L829" s="501">
        <f>SUM(J829:K829)</f>
        <v>12388</v>
      </c>
      <c r="M829" s="493"/>
      <c r="N829" s="507"/>
      <c r="O829" s="449" t="e">
        <f>((#REF!-#REF!)/#REF!)*100</f>
        <v>#REF!</v>
      </c>
    </row>
    <row r="830" spans="2:15" ht="14.25" hidden="1" customHeight="1" outlineLevel="1">
      <c r="B830" s="523" t="s">
        <v>1414</v>
      </c>
      <c r="C830" s="15" t="str">
        <f>IFERROR(VLOOKUP(B830,MasterSheet!$B$6:$N$521,3,),"n/a")</f>
        <v>PAPER BOWL PACKAGE (500ML)</v>
      </c>
      <c r="D830" s="510">
        <v>1</v>
      </c>
      <c r="E830" s="505" t="str">
        <f>IFERROR(VLOOKUP(B830,[4]MasterSheet!$B$6:$N$515,10,),"N/a")</f>
        <v>ea</v>
      </c>
      <c r="F830" s="506">
        <f>IFERROR(VLOOKUP(B830,MasterSheet!$B$6:$N$521,11,),"N/a")</f>
        <v>1164</v>
      </c>
      <c r="G830" s="488">
        <f>IFERROR(D830*F830,"_")</f>
        <v>1164</v>
      </c>
      <c r="H830" s="905"/>
      <c r="I830" s="905"/>
      <c r="J830" s="491">
        <f>D830*$J$826</f>
        <v>56</v>
      </c>
      <c r="K830" s="501">
        <f>D830*$K$826</f>
        <v>20</v>
      </c>
      <c r="L830" s="501">
        <f>SUM(J830:K830)</f>
        <v>76</v>
      </c>
      <c r="M830" s="493"/>
      <c r="N830" s="507"/>
      <c r="O830" t="e">
        <f>((#REF!-#REF!)/#REF!)*100</f>
        <v>#REF!</v>
      </c>
    </row>
    <row r="831" spans="2:15" ht="14.65" hidden="1" customHeight="1" outlineLevel="1" thickBot="1">
      <c r="B831" s="532" t="s">
        <v>1415</v>
      </c>
      <c r="C831" s="28" t="str">
        <f>IFERROR(VLOOKUP(B831,MasterSheet!$B$6:$N$521,3,),"n/a")</f>
        <v>PAPER BOWL PACKAGE (500ML) LID</v>
      </c>
      <c r="D831" s="533">
        <v>1</v>
      </c>
      <c r="E831" s="534" t="str">
        <f>IFERROR(VLOOKUP(B831,[4]MasterSheet!$B$6:$N$515,10,),"N/a")</f>
        <v>ea</v>
      </c>
      <c r="F831" s="535">
        <f>IFERROR(VLOOKUP(B831,MasterSheet!$B$6:$N$521,11,),"N/a")</f>
        <v>428</v>
      </c>
      <c r="G831" s="536">
        <f>IFERROR(D831*F831,"_")</f>
        <v>428</v>
      </c>
      <c r="H831" s="906"/>
      <c r="I831" s="906"/>
      <c r="J831" s="528">
        <f>D831*$J$826</f>
        <v>56</v>
      </c>
      <c r="K831" s="529">
        <f>D831*$K$826</f>
        <v>20</v>
      </c>
      <c r="L831" s="529">
        <f>SUM(J831:K831)</f>
        <v>76</v>
      </c>
      <c r="M831" s="530"/>
      <c r="N831" s="531"/>
      <c r="O831" s="449" t="e">
        <f>((#REF!-#REF!)/#REF!)*100</f>
        <v>#REF!</v>
      </c>
    </row>
    <row r="832" spans="2:15" collapsed="1">
      <c r="B832" s="219" t="s">
        <v>1679</v>
      </c>
      <c r="C832" s="15" t="s">
        <v>1680</v>
      </c>
      <c r="D832" s="184">
        <f>E832*(1+$E$8)</f>
        <v>25300.000000000004</v>
      </c>
      <c r="E832" s="184">
        <v>23000</v>
      </c>
      <c r="F832" s="174">
        <f>H835</f>
        <v>7071.0666686868699</v>
      </c>
      <c r="G832" s="489">
        <f>I835</f>
        <v>7071.0666686868699</v>
      </c>
      <c r="H832" s="500">
        <f>F832/E832</f>
        <v>0.30743768124725523</v>
      </c>
      <c r="I832" s="500">
        <f>G832/E832</f>
        <v>0.30743768124725523</v>
      </c>
      <c r="J832" s="501">
        <f>VLOOKUP(B832,'SALES MIX'!B14:J104,4)</f>
        <v>44.4</v>
      </c>
      <c r="K832" s="501">
        <f>VLOOKUP(B832,'SALES MIX'!B14:J104,5)</f>
        <v>16</v>
      </c>
      <c r="L832" s="221">
        <f>((F832*J832)+(G832*K832))/((J832+K832)*E832)</f>
        <v>0.30743768124725518</v>
      </c>
      <c r="M832" s="493"/>
      <c r="N832" s="493"/>
      <c r="O832" s="449" t="e">
        <f>((#REF!-#REF!)/#REF!)*100</f>
        <v>#REF!</v>
      </c>
    </row>
    <row r="833" spans="2:18" ht="14.65" hidden="1" customHeight="1" outlineLevel="1" thickTop="1">
      <c r="B833" s="913" t="s">
        <v>608</v>
      </c>
      <c r="C833" s="914" t="s">
        <v>1305</v>
      </c>
      <c r="D833" s="915" t="s">
        <v>1306</v>
      </c>
      <c r="E833" s="915" t="s">
        <v>60</v>
      </c>
      <c r="F833" s="915" t="s">
        <v>615</v>
      </c>
      <c r="G833" s="915" t="s">
        <v>755</v>
      </c>
      <c r="H833" s="907" t="s">
        <v>1312</v>
      </c>
      <c r="I833" s="907"/>
      <c r="J833" s="907" t="s">
        <v>1319</v>
      </c>
      <c r="K833" s="907"/>
      <c r="L833" s="908" t="s">
        <v>1313</v>
      </c>
      <c r="M833" s="909" t="s">
        <v>912</v>
      </c>
      <c r="N833" s="910"/>
      <c r="O833" s="449"/>
    </row>
    <row r="834" spans="2:18" ht="14.65" hidden="1" customHeight="1" outlineLevel="1" thickBot="1">
      <c r="B834" s="894"/>
      <c r="C834" s="896"/>
      <c r="D834" s="898"/>
      <c r="E834" s="898"/>
      <c r="F834" s="898"/>
      <c r="G834" s="898"/>
      <c r="H834" s="502" t="s">
        <v>1309</v>
      </c>
      <c r="I834" s="502" t="s">
        <v>1308</v>
      </c>
      <c r="J834" s="502" t="s">
        <v>1309</v>
      </c>
      <c r="K834" s="502" t="s">
        <v>1308</v>
      </c>
      <c r="L834" s="901"/>
      <c r="M834" s="911"/>
      <c r="N834" s="912"/>
      <c r="O834" s="449"/>
    </row>
    <row r="835" spans="2:18" ht="14.25" hidden="1" customHeight="1" outlineLevel="1">
      <c r="B835" s="504" t="s">
        <v>1681</v>
      </c>
      <c r="C835" s="15" t="str">
        <f>IFERROR(VLOOKUP(B835,MasterSheet!$B$6:$N$150,3,),"n/a")</f>
        <v>Mandu (chicken)</v>
      </c>
      <c r="D835" s="499">
        <f>18.5*5</f>
        <v>92.5</v>
      </c>
      <c r="E835" s="505" t="str">
        <f>IFERROR(VLOOKUP(B835,[4]MasterSheet!$B$6:$N$144,10,),"N/a")</f>
        <v>g</v>
      </c>
      <c r="F835" s="506">
        <f>IFERROR(VLOOKUP(B835,MasterSheet!$B$6:$N$150,11,),"N/a")</f>
        <v>67.381160000000008</v>
      </c>
      <c r="G835" s="488">
        <f>IFERROR(D835*F835,"_")</f>
        <v>6232.7573000000011</v>
      </c>
      <c r="H835" s="905">
        <f>SUM(G835:G837)</f>
        <v>7071.0666686868699</v>
      </c>
      <c r="I835" s="905">
        <f>SUM(H835:H837)</f>
        <v>7071.0666686868699</v>
      </c>
      <c r="J835" s="491">
        <f>D835*$J$832</f>
        <v>4107</v>
      </c>
      <c r="K835" s="501">
        <f>D835*$K$832</f>
        <v>1480</v>
      </c>
      <c r="L835" s="501">
        <f>SUM(J835:K835)</f>
        <v>5587</v>
      </c>
      <c r="M835" s="493"/>
      <c r="N835" s="507"/>
      <c r="O835" s="449"/>
    </row>
    <row r="836" spans="2:18" ht="14.25" hidden="1" customHeight="1" outlineLevel="1">
      <c r="B836" s="508" t="s">
        <v>1682</v>
      </c>
      <c r="C836" s="15" t="str">
        <f>IFERROR(VLOOKUP(B836,MasterSheet!$B$6:$N$150,3,),"n/a")</f>
        <v>Palm Oil</v>
      </c>
      <c r="D836" s="499">
        <f>D835*5%</f>
        <v>4.625</v>
      </c>
      <c r="E836" s="505" t="str">
        <f>IFERROR(VLOOKUP(B836,[4]MasterSheet!$B$6:$N$144,10,),"N/a")</f>
        <v>g</v>
      </c>
      <c r="F836" s="506">
        <f>IFERROR(VLOOKUP(B836,MasterSheet!$B$6:$N$150,11,),"N/a")</f>
        <v>25.580404040404041</v>
      </c>
      <c r="G836" s="488">
        <f>IFERROR(D836*F836,"_")</f>
        <v>118.30936868686869</v>
      </c>
      <c r="H836" s="905"/>
      <c r="I836" s="905"/>
      <c r="J836" s="491">
        <f>D836*$J$832</f>
        <v>205.35</v>
      </c>
      <c r="K836" s="501">
        <f>D836*$K$832</f>
        <v>74</v>
      </c>
      <c r="L836" s="501">
        <f>SUM(J836:K836)</f>
        <v>279.35000000000002</v>
      </c>
      <c r="M836" s="493"/>
      <c r="N836" s="507"/>
      <c r="O836" s="449"/>
    </row>
    <row r="837" spans="2:18" ht="14.65" hidden="1" customHeight="1" outlineLevel="1" thickBot="1">
      <c r="B837" s="532" t="s">
        <v>1671</v>
      </c>
      <c r="C837" s="28" t="str">
        <f>IFERROR(VLOOKUP(B837,MasterSheet!$B$6:$N$521,3,),"n/a")</f>
        <v>BB.Q APPITIZER BOX</v>
      </c>
      <c r="D837" s="533">
        <v>1</v>
      </c>
      <c r="E837" s="534" t="str">
        <f>IFERROR(VLOOKUP(B837,[4]MasterSheet!$B$6:$N$515,10,),"N/a")</f>
        <v>ea</v>
      </c>
      <c r="F837" s="535">
        <f>IFERROR(VLOOKUP(B837,MasterSheet!$B$6:$N$521,11,),"N/a")</f>
        <v>720</v>
      </c>
      <c r="G837" s="536">
        <f>IFERROR(D837*F837,"_")</f>
        <v>720</v>
      </c>
      <c r="H837" s="906"/>
      <c r="I837" s="906"/>
      <c r="J837" s="528">
        <f>D837*$J$832</f>
        <v>44.4</v>
      </c>
      <c r="K837" s="529">
        <f>D837*$K$832</f>
        <v>16</v>
      </c>
      <c r="L837" s="529">
        <f>SUM(J837:K837)</f>
        <v>60.4</v>
      </c>
      <c r="M837" s="530"/>
      <c r="N837" s="531"/>
      <c r="O837" s="449"/>
    </row>
    <row r="838" spans="2:18" collapsed="1">
      <c r="B838" s="219" t="s">
        <v>1683</v>
      </c>
      <c r="C838" s="15" t="s">
        <v>1684</v>
      </c>
      <c r="D838" s="184">
        <f>E838*(1+$E$8)</f>
        <v>25300.000000000004</v>
      </c>
      <c r="E838" s="184">
        <v>23000</v>
      </c>
      <c r="F838" s="174">
        <f>H841</f>
        <v>8436.2593686868677</v>
      </c>
      <c r="G838" s="489">
        <f>I841</f>
        <v>8436.2593686868677</v>
      </c>
      <c r="H838" s="500">
        <f>F838/E838</f>
        <v>0.36679388559508119</v>
      </c>
      <c r="I838" s="500">
        <f>G838/E838</f>
        <v>0.36679388559508119</v>
      </c>
      <c r="J838" s="501">
        <f>VLOOKUP(B838,'SALES MIX'!B14:J104,4)</f>
        <v>0</v>
      </c>
      <c r="K838" s="501">
        <f>VLOOKUP(B838,'SALES MIX'!B14:J104,5)</f>
        <v>0</v>
      </c>
      <c r="L838" s="221" t="e">
        <f>((F838*J838)+(G838*K838))/((J838+K838)*E838)</f>
        <v>#DIV/0!</v>
      </c>
      <c r="M838" s="493"/>
      <c r="N838" s="493"/>
      <c r="O838" s="449"/>
    </row>
    <row r="839" spans="2:18" ht="14.65" hidden="1" customHeight="1" outlineLevel="1" thickTop="1">
      <c r="B839" s="913" t="s">
        <v>608</v>
      </c>
      <c r="C839" s="914" t="s">
        <v>1305</v>
      </c>
      <c r="D839" s="915" t="s">
        <v>1306</v>
      </c>
      <c r="E839" s="915" t="s">
        <v>60</v>
      </c>
      <c r="F839" s="915" t="s">
        <v>615</v>
      </c>
      <c r="G839" s="915" t="s">
        <v>755</v>
      </c>
      <c r="H839" s="907" t="s">
        <v>1312</v>
      </c>
      <c r="I839" s="907"/>
      <c r="J839" s="907" t="s">
        <v>1319</v>
      </c>
      <c r="K839" s="907"/>
      <c r="L839" s="908" t="s">
        <v>1313</v>
      </c>
      <c r="M839" s="909" t="s">
        <v>912</v>
      </c>
      <c r="N839" s="910"/>
      <c r="O839" s="449"/>
    </row>
    <row r="840" spans="2:18" ht="14.65" hidden="1" customHeight="1" outlineLevel="1" thickBot="1">
      <c r="B840" s="894"/>
      <c r="C840" s="896"/>
      <c r="D840" s="898"/>
      <c r="E840" s="898"/>
      <c r="F840" s="898"/>
      <c r="G840" s="898"/>
      <c r="H840" s="502" t="s">
        <v>1309</v>
      </c>
      <c r="I840" s="502" t="s">
        <v>1308</v>
      </c>
      <c r="J840" s="502" t="s">
        <v>1309</v>
      </c>
      <c r="K840" s="502" t="s">
        <v>1308</v>
      </c>
      <c r="L840" s="901"/>
      <c r="M840" s="911"/>
      <c r="N840" s="912"/>
      <c r="O840" s="449"/>
    </row>
    <row r="841" spans="2:18" ht="14.25" hidden="1" customHeight="1" outlineLevel="1">
      <c r="B841" s="504" t="s">
        <v>1685</v>
      </c>
      <c r="C841" s="15" t="str">
        <f>IFERROR(VLOOKUP(B841,MasterSheet!$B$6:$N$150,3,),"n/a")</f>
        <v>Mandu (Beef)</v>
      </c>
      <c r="D841" s="499">
        <f>18.5*5</f>
        <v>92.5</v>
      </c>
      <c r="E841" s="505" t="str">
        <f>IFERROR(VLOOKUP(B841,[4]MasterSheet!$B$6:$N$144,10,),"N/a")</f>
        <v>g</v>
      </c>
      <c r="F841" s="506">
        <f>IFERROR(VLOOKUP(B841,MasterSheet!$B$6:$N$150,11,),"N/a")</f>
        <v>82.14</v>
      </c>
      <c r="G841" s="488">
        <f>IFERROR(D841*F841,"_")</f>
        <v>7597.95</v>
      </c>
      <c r="H841" s="905">
        <f>SUM(G841:G843)</f>
        <v>8436.2593686868677</v>
      </c>
      <c r="I841" s="905">
        <f>SUM(H841:H843)</f>
        <v>8436.2593686868677</v>
      </c>
      <c r="J841" s="491">
        <f>D841*$J$838</f>
        <v>0</v>
      </c>
      <c r="K841" s="501">
        <f>D841*$K$838</f>
        <v>0</v>
      </c>
      <c r="L841" s="501">
        <f>SUM(J841:K841)</f>
        <v>0</v>
      </c>
      <c r="M841" s="493"/>
      <c r="N841" s="507"/>
      <c r="O841" s="449"/>
      <c r="R841">
        <f>22*5</f>
        <v>110</v>
      </c>
    </row>
    <row r="842" spans="2:18" ht="14.25" hidden="1" customHeight="1" outlineLevel="1">
      <c r="B842" s="508" t="s">
        <v>1682</v>
      </c>
      <c r="C842" s="15" t="str">
        <f>IFERROR(VLOOKUP(B842,MasterSheet!$B$6:$N$150,3,),"n/a")</f>
        <v>Palm Oil</v>
      </c>
      <c r="D842" s="499">
        <f>D841*5%</f>
        <v>4.625</v>
      </c>
      <c r="E842" s="505" t="str">
        <f>IFERROR(VLOOKUP(B842,[4]MasterSheet!$B$6:$N$144,10,),"N/a")</f>
        <v>g</v>
      </c>
      <c r="F842" s="506">
        <f>IFERROR(VLOOKUP(B842,MasterSheet!$B$6:$N$150,11,),"N/a")</f>
        <v>25.580404040404041</v>
      </c>
      <c r="G842" s="488">
        <f>IFERROR(D842*F842,"_")</f>
        <v>118.30936868686869</v>
      </c>
      <c r="H842" s="905"/>
      <c r="I842" s="905"/>
      <c r="J842" s="491">
        <f>D842*$J$838</f>
        <v>0</v>
      </c>
      <c r="K842" s="501">
        <f>D842*$K$838</f>
        <v>0</v>
      </c>
      <c r="L842" s="501">
        <f>SUM(J842:K842)</f>
        <v>0</v>
      </c>
      <c r="M842" s="493"/>
      <c r="N842" s="507"/>
      <c r="O842" s="449"/>
    </row>
    <row r="843" spans="2:18" ht="14.65" hidden="1" customHeight="1" outlineLevel="1" thickBot="1">
      <c r="B843" s="532" t="s">
        <v>1671</v>
      </c>
      <c r="C843" s="28" t="str">
        <f>IFERROR(VLOOKUP(B843,MasterSheet!$B$6:$N$521,3,),"n/a")</f>
        <v>BB.Q APPITIZER BOX</v>
      </c>
      <c r="D843" s="533">
        <v>1</v>
      </c>
      <c r="E843" s="534" t="str">
        <f>IFERROR(VLOOKUP(B843,[4]MasterSheet!$B$6:$N$515,10,),"N/a")</f>
        <v>ea</v>
      </c>
      <c r="F843" s="535">
        <f>IFERROR(VLOOKUP(B843,MasterSheet!$B$6:$N$521,11,),"N/a")</f>
        <v>720</v>
      </c>
      <c r="G843" s="536">
        <f>IFERROR(D843*F843,"_")</f>
        <v>720</v>
      </c>
      <c r="H843" s="906"/>
      <c r="I843" s="906"/>
      <c r="J843" s="528">
        <f>D843*$J$838</f>
        <v>0</v>
      </c>
      <c r="K843" s="529">
        <f>D843*$K$838</f>
        <v>0</v>
      </c>
      <c r="L843" s="529">
        <f>SUM(J843:K843)</f>
        <v>0</v>
      </c>
      <c r="M843" s="530"/>
      <c r="N843" s="531"/>
      <c r="O843" s="449"/>
    </row>
    <row r="844" spans="2:18" collapsed="1">
      <c r="B844" s="219" t="s">
        <v>1686</v>
      </c>
      <c r="C844" s="15" t="s">
        <v>1784</v>
      </c>
      <c r="D844" s="184">
        <f>E844*(1+$E$8)</f>
        <v>31900.000000000004</v>
      </c>
      <c r="E844" s="184">
        <v>29000</v>
      </c>
      <c r="F844" s="174">
        <f>H847</f>
        <v>15218.010010765247</v>
      </c>
      <c r="G844" s="489">
        <f>I847</f>
        <v>15218.010010765247</v>
      </c>
      <c r="H844" s="500">
        <f>F844/E844</f>
        <v>0.52475896588845683</v>
      </c>
      <c r="I844" s="500">
        <f>G844/E844</f>
        <v>0.52475896588845683</v>
      </c>
      <c r="J844" s="501">
        <f>VLOOKUP(B844,'SALES MIX'!B14:J104,4)</f>
        <v>34.5</v>
      </c>
      <c r="K844" s="501">
        <f>VLOOKUP(B844,'SALES MIX'!B14:J104,5)</f>
        <v>28.5</v>
      </c>
      <c r="L844" s="221">
        <f>((F844*J844)+(G844*K844))/((J844+K844)*E844)</f>
        <v>0.52475896588845683</v>
      </c>
      <c r="M844" s="493"/>
      <c r="N844" s="493"/>
      <c r="O844" s="449"/>
    </row>
    <row r="845" spans="2:18" ht="18" hidden="1" customHeight="1" outlineLevel="1" thickTop="1">
      <c r="B845" s="913" t="s">
        <v>608</v>
      </c>
      <c r="C845" s="914" t="s">
        <v>1305</v>
      </c>
      <c r="D845" s="915" t="s">
        <v>1306</v>
      </c>
      <c r="E845" s="915" t="s">
        <v>60</v>
      </c>
      <c r="F845" s="915" t="s">
        <v>615</v>
      </c>
      <c r="G845" s="915" t="s">
        <v>755</v>
      </c>
      <c r="H845" s="907" t="s">
        <v>1312</v>
      </c>
      <c r="I845" s="907"/>
      <c r="J845" s="907" t="s">
        <v>1319</v>
      </c>
      <c r="K845" s="907"/>
      <c r="L845" s="908" t="s">
        <v>1313</v>
      </c>
      <c r="M845" s="909" t="s">
        <v>912</v>
      </c>
      <c r="N845" s="910"/>
      <c r="O845" s="449"/>
    </row>
    <row r="846" spans="2:18" ht="14.65" hidden="1" customHeight="1" outlineLevel="1" thickBot="1">
      <c r="B846" s="894"/>
      <c r="C846" s="896"/>
      <c r="D846" s="898"/>
      <c r="E846" s="898"/>
      <c r="F846" s="898"/>
      <c r="G846" s="898"/>
      <c r="H846" s="502" t="s">
        <v>1309</v>
      </c>
      <c r="I846" s="502" t="s">
        <v>1308</v>
      </c>
      <c r="J846" s="502" t="s">
        <v>1309</v>
      </c>
      <c r="K846" s="502" t="s">
        <v>1308</v>
      </c>
      <c r="L846" s="901"/>
      <c r="M846" s="911"/>
      <c r="N846" s="912"/>
      <c r="O846" s="449"/>
    </row>
    <row r="847" spans="2:18" ht="14.25" hidden="1" customHeight="1" outlineLevel="1">
      <c r="B847" s="504" t="s">
        <v>631</v>
      </c>
      <c r="C847" s="15" t="str">
        <f>IFERROR(VLOOKUP(B847,MasterSheet!$B$6:$N$150,3,),"n/a")</f>
        <v>Injected Whole Chicken (1.25kg)</v>
      </c>
      <c r="D847" s="499">
        <f>1250/9*2</f>
        <v>277.77777777777777</v>
      </c>
      <c r="E847" s="505" t="str">
        <f>IFERROR(VLOOKUP(B847,[4]MasterSheet!$B$6:$N$144,10,),"N/a")</f>
        <v>g</v>
      </c>
      <c r="F847" s="506">
        <f>IFERROR(VLOOKUP(B847,MasterSheet!$B$6:$N$150,11,),"N/a")</f>
        <v>34.314223999999996</v>
      </c>
      <c r="G847" s="488">
        <f>IFERROR(D847*F847,"_")</f>
        <v>9531.728888888887</v>
      </c>
      <c r="H847" s="905">
        <f>SUM(G847:G851)</f>
        <v>15218.010010765247</v>
      </c>
      <c r="I847" s="905">
        <f>SUM(H847:H851)</f>
        <v>15218.010010765247</v>
      </c>
      <c r="J847" s="491">
        <f>D847*$J$844</f>
        <v>9583.3333333333339</v>
      </c>
      <c r="K847" s="501">
        <f>D847*$K$838</f>
        <v>0</v>
      </c>
      <c r="L847" s="501">
        <f>SUM(J847:K847)</f>
        <v>9583.3333333333339</v>
      </c>
      <c r="M847" s="493"/>
      <c r="N847" s="507"/>
      <c r="O847" s="449"/>
    </row>
    <row r="848" spans="2:18" ht="14.25" hidden="1" customHeight="1" outlineLevel="1">
      <c r="B848" s="508" t="s">
        <v>1682</v>
      </c>
      <c r="C848" s="15" t="str">
        <f>IFERROR(VLOOKUP(B848,MasterSheet!$B$6:$N$150,3,),"n/a")</f>
        <v>Palm Oil</v>
      </c>
      <c r="D848" s="499">
        <f>D847*5%</f>
        <v>13.888888888888889</v>
      </c>
      <c r="E848" s="505" t="str">
        <f>IFERROR(VLOOKUP(B848,[4]MasterSheet!$B$6:$N$144,10,),"N/a")</f>
        <v>g</v>
      </c>
      <c r="F848" s="506">
        <f>IFERROR(VLOOKUP(B848,MasterSheet!$B$6:$N$150,11,),"N/a")</f>
        <v>25.580404040404041</v>
      </c>
      <c r="G848" s="488">
        <f>IFERROR(D848*F848,"_")</f>
        <v>355.28338945005612</v>
      </c>
      <c r="H848" s="905"/>
      <c r="I848" s="905"/>
      <c r="J848" s="491">
        <f>D848*$J$838</f>
        <v>0</v>
      </c>
      <c r="K848" s="501">
        <f>D848*$K$838</f>
        <v>0</v>
      </c>
      <c r="L848" s="501">
        <f>SUM(J848:K848)</f>
        <v>0</v>
      </c>
      <c r="M848" s="493"/>
      <c r="N848" s="507"/>
      <c r="O848" s="449"/>
    </row>
    <row r="849" spans="2:15" ht="14.25" hidden="1" customHeight="1" outlineLevel="1">
      <c r="B849" s="508" t="s">
        <v>1779</v>
      </c>
      <c r="C849" s="15" t="str">
        <f>IFERROR(VLOOKUP(B849,MasterSheet!$B$6:$N$150,3,),"n/a")</f>
        <v xml:space="preserve">Cheese Taste Seasoning Mix </v>
      </c>
      <c r="D849" s="499">
        <f>D847*4%</f>
        <v>11.111111111111111</v>
      </c>
      <c r="E849" s="505" t="str">
        <f>IFERROR(VLOOKUP(B849,[4]MasterSheet!$B$6:$N$144,10,),"N/a")</f>
        <v>g</v>
      </c>
      <c r="F849" s="506">
        <f>IFERROR(VLOOKUP(B849,MasterSheet!$B$6:$N$150,11,),"N/a")</f>
        <v>294.48979591836735</v>
      </c>
      <c r="G849" s="488">
        <f>IFERROR(D849*F849,"_")</f>
        <v>3272.1088435374149</v>
      </c>
      <c r="H849" s="905"/>
      <c r="I849" s="905"/>
      <c r="J849" s="491"/>
      <c r="K849" s="501"/>
      <c r="L849" s="501"/>
      <c r="M849" s="493"/>
      <c r="N849" s="507"/>
      <c r="O849" s="449"/>
    </row>
    <row r="850" spans="2:15" ht="14.25" hidden="1" customHeight="1" outlineLevel="1">
      <c r="B850" s="509" t="s">
        <v>568</v>
      </c>
      <c r="C850" s="15" t="str">
        <f>VLOOKUP(B850,CK!$B$8:$L$87,4,)</f>
        <v>Battering Powder Mix C Solution(Yellow)</v>
      </c>
      <c r="D850" s="499">
        <f>D847*21%</f>
        <v>58.333333333333329</v>
      </c>
      <c r="E850" s="505" t="str">
        <f>VLOOKUP(B850,[4]CK!$B$8:$L$87,9,)</f>
        <v>g</v>
      </c>
      <c r="F850" s="506">
        <f>VLOOKUP(B850,CK!$B$8:$L$87,10,)</f>
        <v>23.80952380952381</v>
      </c>
      <c r="G850" s="488">
        <f>IFERROR(D850*F850,"_")</f>
        <v>1388.8888888888889</v>
      </c>
      <c r="H850" s="905"/>
      <c r="I850" s="905"/>
      <c r="J850" s="491"/>
      <c r="K850" s="501"/>
      <c r="L850" s="501"/>
      <c r="M850" s="493"/>
      <c r="N850" s="507"/>
      <c r="O850" s="449"/>
    </row>
    <row r="851" spans="2:15" ht="14.65" hidden="1" customHeight="1" outlineLevel="1" thickBot="1">
      <c r="B851" s="532" t="s">
        <v>1322</v>
      </c>
      <c r="C851" s="28" t="str">
        <f>IFERROR(VLOOKUP(B851,MasterSheet!$B$6:$N$521,3,),"n/a")</f>
        <v>BB.Q CHAMSHELL BOX</v>
      </c>
      <c r="D851" s="533">
        <v>1</v>
      </c>
      <c r="E851" s="534" t="str">
        <f>IFERROR(VLOOKUP(B851,[4]MasterSheet!$B$6:$N$515,10,),"N/a")</f>
        <v>ea</v>
      </c>
      <c r="F851" s="535">
        <f>IFERROR(VLOOKUP(B851,MasterSheet!$B$6:$N$521,11,),"N/a")</f>
        <v>670</v>
      </c>
      <c r="G851" s="536">
        <f>IFERROR(D851*F851,"_")</f>
        <v>670</v>
      </c>
      <c r="H851" s="906"/>
      <c r="I851" s="906"/>
      <c r="J851" s="528">
        <f>D851*$J$838</f>
        <v>0</v>
      </c>
      <c r="K851" s="529">
        <f>D851*$K$838</f>
        <v>0</v>
      </c>
      <c r="L851" s="529">
        <f>SUM(J851:K851)</f>
        <v>0</v>
      </c>
      <c r="M851" s="530"/>
      <c r="N851" s="531"/>
      <c r="O851" s="449"/>
    </row>
    <row r="852" spans="2:15" collapsed="1">
      <c r="B852" s="219" t="s">
        <v>1723</v>
      </c>
      <c r="C852" s="15" t="s">
        <v>1785</v>
      </c>
      <c r="D852" s="184">
        <f>E852*(1+$E$8)</f>
        <v>31900.000000000004</v>
      </c>
      <c r="E852" s="184">
        <v>29000</v>
      </c>
      <c r="F852" s="174">
        <f>H855</f>
        <v>16121.248389450053</v>
      </c>
      <c r="G852" s="489">
        <f>I855</f>
        <v>16121.248389450053</v>
      </c>
      <c r="H852" s="500">
        <f>F852/E852</f>
        <v>0.55590511687758803</v>
      </c>
      <c r="I852" s="500">
        <f>G852/E852</f>
        <v>0.55590511687758803</v>
      </c>
      <c r="J852" s="501">
        <f>VLOOKUP(B852,'SALES MIX'!B14:J104,4)</f>
        <v>14.5</v>
      </c>
      <c r="K852" s="501">
        <f>VLOOKUP(B852,'SALES MIX'!B14:J104,5)</f>
        <v>9</v>
      </c>
      <c r="L852" s="221">
        <f>((F852*J852)+(G852*K852))/((J852+K852)*E852)</f>
        <v>0.55590511687758803</v>
      </c>
      <c r="M852" s="493"/>
      <c r="N852" s="493"/>
      <c r="O852" s="449"/>
    </row>
    <row r="853" spans="2:15" ht="18" hidden="1" customHeight="1" outlineLevel="1" thickTop="1">
      <c r="B853" s="913" t="s">
        <v>608</v>
      </c>
      <c r="C853" s="914" t="s">
        <v>1305</v>
      </c>
      <c r="D853" s="915" t="s">
        <v>1306</v>
      </c>
      <c r="E853" s="915" t="s">
        <v>60</v>
      </c>
      <c r="F853" s="915" t="s">
        <v>615</v>
      </c>
      <c r="G853" s="915" t="s">
        <v>755</v>
      </c>
      <c r="H853" s="907" t="s">
        <v>1312</v>
      </c>
      <c r="I853" s="907"/>
      <c r="J853" s="907" t="s">
        <v>1319</v>
      </c>
      <c r="K853" s="907"/>
      <c r="L853" s="908" t="s">
        <v>1313</v>
      </c>
      <c r="M853" s="909" t="s">
        <v>912</v>
      </c>
      <c r="N853" s="910"/>
      <c r="O853" s="449"/>
    </row>
    <row r="854" spans="2:15" ht="14.65" hidden="1" customHeight="1" outlineLevel="1" thickBot="1">
      <c r="B854" s="894"/>
      <c r="C854" s="896"/>
      <c r="D854" s="898"/>
      <c r="E854" s="898"/>
      <c r="F854" s="898"/>
      <c r="G854" s="898"/>
      <c r="H854" s="502" t="s">
        <v>1309</v>
      </c>
      <c r="I854" s="502" t="s">
        <v>1308</v>
      </c>
      <c r="J854" s="502" t="s">
        <v>1309</v>
      </c>
      <c r="K854" s="502" t="s">
        <v>1308</v>
      </c>
      <c r="L854" s="901"/>
      <c r="M854" s="911"/>
      <c r="N854" s="912"/>
      <c r="O854" s="449"/>
    </row>
    <row r="855" spans="2:15" ht="14.25" hidden="1" customHeight="1" outlineLevel="1">
      <c r="B855" s="504" t="s">
        <v>631</v>
      </c>
      <c r="C855" s="15" t="str">
        <f>IFERROR(VLOOKUP(B855,MasterSheet!$B$6:$N$150,3,),"n/a")</f>
        <v>Injected Whole Chicken (1.25kg)</v>
      </c>
      <c r="D855" s="499">
        <f>1250/9*2</f>
        <v>277.77777777777777</v>
      </c>
      <c r="E855" s="505" t="str">
        <f>IFERROR(VLOOKUP(B855,[4]MasterSheet!$B$6:$N$144,10,),"N/a")</f>
        <v>g</v>
      </c>
      <c r="F855" s="506">
        <f>IFERROR(VLOOKUP(B855,MasterSheet!$B$6:$N$150,11,),"N/a")</f>
        <v>34.314223999999996</v>
      </c>
      <c r="G855" s="488">
        <f>IFERROR(D855*F855,"_")</f>
        <v>9531.728888888887</v>
      </c>
      <c r="H855" s="905">
        <f>SUM(G855:G859)</f>
        <v>16121.248389450053</v>
      </c>
      <c r="I855" s="905">
        <f>SUM(H855:H859)</f>
        <v>16121.248389450053</v>
      </c>
      <c r="J855" s="491">
        <f>D855*$J$852</f>
        <v>4027.7777777777778</v>
      </c>
      <c r="K855" s="501">
        <f>D855*$K$852</f>
        <v>2500</v>
      </c>
      <c r="L855" s="501">
        <f>SUM(J855:K855)</f>
        <v>6527.7777777777774</v>
      </c>
      <c r="M855" s="493"/>
      <c r="N855" s="507"/>
      <c r="O855" s="449"/>
    </row>
    <row r="856" spans="2:15" ht="14.25" hidden="1" customHeight="1" outlineLevel="1">
      <c r="B856" s="508" t="s">
        <v>999</v>
      </c>
      <c r="C856" s="15" t="str">
        <f>IFERROR(VLOOKUP(B856,MasterSheet!$B$6:$N$150,3,),"n/a")</f>
        <v>Palm Oil</v>
      </c>
      <c r="D856" s="499">
        <f>D855*5%</f>
        <v>13.888888888888889</v>
      </c>
      <c r="E856" s="505" t="str">
        <f>IFERROR(VLOOKUP(B856,[4]MasterSheet!$B$6:$N$144,10,),"N/a")</f>
        <v>g</v>
      </c>
      <c r="F856" s="506">
        <f>IFERROR(VLOOKUP(B856,MasterSheet!$B$6:$N$150,11,),"N/a")</f>
        <v>25.580404040404041</v>
      </c>
      <c r="G856" s="488">
        <f>IFERROR(D856*F856,"_")</f>
        <v>355.28338945005612</v>
      </c>
      <c r="H856" s="905"/>
      <c r="I856" s="905"/>
      <c r="J856" s="491">
        <f>D856*$J$852</f>
        <v>201.38888888888889</v>
      </c>
      <c r="K856" s="501">
        <f>D856*$K$852</f>
        <v>125</v>
      </c>
      <c r="L856" s="501">
        <f>SUM(J856:K856)</f>
        <v>326.38888888888891</v>
      </c>
      <c r="M856" s="493"/>
      <c r="N856" s="507"/>
      <c r="O856" s="449"/>
    </row>
    <row r="857" spans="2:15" ht="14.25" hidden="1" customHeight="1" outlineLevel="1">
      <c r="B857" s="508" t="s">
        <v>1780</v>
      </c>
      <c r="C857" s="15" t="str">
        <f>IFERROR(VLOOKUP(B857,MasterSheet!$B$6:$N$150,3,),"n/a")</f>
        <v>Mala Hot Sauce</v>
      </c>
      <c r="D857" s="499">
        <f>D855*12%</f>
        <v>33.333333333333329</v>
      </c>
      <c r="E857" s="505" t="str">
        <f>IFERROR(VLOOKUP(B857,[4]MasterSheet!$B$6:$N$144,10,),"N/a")</f>
        <v>g</v>
      </c>
      <c r="F857" s="506">
        <f>IFERROR(VLOOKUP(B857,MasterSheet!$B$6:$N$150,11,),"N/a")</f>
        <v>125.26041666666667</v>
      </c>
      <c r="G857" s="488">
        <f>IFERROR(D857*F857,"_")</f>
        <v>4175.3472222222217</v>
      </c>
      <c r="H857" s="905"/>
      <c r="I857" s="905"/>
      <c r="J857" s="491">
        <f>D857*$J$852</f>
        <v>483.33333333333326</v>
      </c>
      <c r="K857" s="501">
        <f>D857*$K$852</f>
        <v>299.99999999999994</v>
      </c>
      <c r="L857" s="501">
        <f>SUM(J857:K857)</f>
        <v>783.33333333333326</v>
      </c>
      <c r="M857" s="493"/>
      <c r="N857" s="507"/>
      <c r="O857" s="449"/>
    </row>
    <row r="858" spans="2:15" ht="14.25" hidden="1" customHeight="1" outlineLevel="1">
      <c r="B858" s="509" t="s">
        <v>568</v>
      </c>
      <c r="C858" s="15" t="str">
        <f>VLOOKUP(B858,CK!$B$8:$L$87,4,)</f>
        <v>Battering Powder Mix C Solution(Yellow)</v>
      </c>
      <c r="D858" s="499">
        <f>D855*21%</f>
        <v>58.333333333333329</v>
      </c>
      <c r="E858" s="505" t="str">
        <f>VLOOKUP(B858,[4]CK!$B$8:$L$87,9,)</f>
        <v>g</v>
      </c>
      <c r="F858" s="506">
        <f>VLOOKUP(B858,CK!$B$8:$L$87,10,)</f>
        <v>23.80952380952381</v>
      </c>
      <c r="G858" s="488">
        <f>IFERROR(D858*F858,"_")</f>
        <v>1388.8888888888889</v>
      </c>
      <c r="H858" s="905"/>
      <c r="I858" s="905"/>
      <c r="J858" s="491">
        <f>D858*$J$852</f>
        <v>845.83333333333326</v>
      </c>
      <c r="K858" s="501">
        <f>D858*$K$852</f>
        <v>525</v>
      </c>
      <c r="L858" s="501">
        <f>SUM(J858:K858)</f>
        <v>1370.8333333333333</v>
      </c>
      <c r="M858" s="493"/>
      <c r="N858" s="507"/>
      <c r="O858" s="449"/>
    </row>
    <row r="859" spans="2:15" ht="14.65" hidden="1" customHeight="1" outlineLevel="1" thickBot="1">
      <c r="B859" s="532" t="s">
        <v>1322</v>
      </c>
      <c r="C859" s="28" t="str">
        <f>IFERROR(VLOOKUP(B859,MasterSheet!$B$6:$N$521,3,),"n/a")</f>
        <v>BB.Q CHAMSHELL BOX</v>
      </c>
      <c r="D859" s="533">
        <v>1</v>
      </c>
      <c r="E859" s="534" t="str">
        <f>IFERROR(VLOOKUP(B859,[4]MasterSheet!$B$6:$N$515,10,),"N/a")</f>
        <v>ea</v>
      </c>
      <c r="F859" s="535">
        <f>IFERROR(VLOOKUP(B859,MasterSheet!$B$6:$N$521,11,),"N/a")</f>
        <v>670</v>
      </c>
      <c r="G859" s="536">
        <f>IFERROR(D859*F859,"_")</f>
        <v>670</v>
      </c>
      <c r="H859" s="906"/>
      <c r="I859" s="906"/>
      <c r="J859" s="528">
        <f>D859*$J$852</f>
        <v>14.5</v>
      </c>
      <c r="K859" s="529">
        <f>D859*$K$852</f>
        <v>9</v>
      </c>
      <c r="L859" s="529">
        <f>SUM(J859:K859)</f>
        <v>23.5</v>
      </c>
      <c r="M859" s="530"/>
      <c r="N859" s="531"/>
      <c r="O859" s="449"/>
    </row>
    <row r="860" spans="2:15" collapsed="1">
      <c r="B860" s="219" t="s">
        <v>1782</v>
      </c>
      <c r="C860" s="15" t="s">
        <v>1724</v>
      </c>
      <c r="D860" s="184">
        <f>E860*(1+$E$8)</f>
        <v>25300.000000000004</v>
      </c>
      <c r="E860" s="184">
        <v>23000</v>
      </c>
      <c r="F860" s="174">
        <f>H863</f>
        <v>12574.527151515151</v>
      </c>
      <c r="G860" s="489">
        <f>I863</f>
        <v>12574.527151515151</v>
      </c>
      <c r="H860" s="500">
        <f>F860/E860</f>
        <v>0.5467185718050066</v>
      </c>
      <c r="I860" s="500">
        <f>G860/E860</f>
        <v>0.5467185718050066</v>
      </c>
      <c r="J860" s="501">
        <f>VLOOKUP(B860,'SALES MIX'!B14:J104,4)</f>
        <v>17</v>
      </c>
      <c r="K860" s="501">
        <f>VLOOKUP(B860,'SALES MIX'!B14:J104,5)</f>
        <v>10</v>
      </c>
      <c r="L860" s="221">
        <f>((F860*J860)+(G860*K860))/((J860+K860)*E860)</f>
        <v>0.5467185718050066</v>
      </c>
      <c r="M860" s="493"/>
      <c r="N860" s="493"/>
      <c r="O860" s="449"/>
    </row>
    <row r="861" spans="2:15" ht="14.65" hidden="1" customHeight="1" outlineLevel="1" thickTop="1">
      <c r="B861" s="913" t="s">
        <v>608</v>
      </c>
      <c r="C861" s="914" t="s">
        <v>1305</v>
      </c>
      <c r="D861" s="915" t="s">
        <v>1306</v>
      </c>
      <c r="E861" s="915" t="s">
        <v>60</v>
      </c>
      <c r="F861" s="915" t="s">
        <v>615</v>
      </c>
      <c r="G861" s="915" t="s">
        <v>755</v>
      </c>
      <c r="H861" s="907" t="s">
        <v>1312</v>
      </c>
      <c r="I861" s="907"/>
      <c r="J861" s="907" t="s">
        <v>1319</v>
      </c>
      <c r="K861" s="907"/>
      <c r="L861" s="908" t="s">
        <v>1313</v>
      </c>
      <c r="M861" s="909" t="s">
        <v>912</v>
      </c>
      <c r="N861" s="910"/>
      <c r="O861" s="449"/>
    </row>
    <row r="862" spans="2:15" ht="14.65" hidden="1" customHeight="1" outlineLevel="1" thickBot="1">
      <c r="B862" s="894"/>
      <c r="C862" s="896"/>
      <c r="D862" s="898"/>
      <c r="E862" s="898"/>
      <c r="F862" s="898"/>
      <c r="G862" s="898"/>
      <c r="H862" s="502" t="s">
        <v>1309</v>
      </c>
      <c r="I862" s="502" t="s">
        <v>1308</v>
      </c>
      <c r="J862" s="502" t="s">
        <v>1309</v>
      </c>
      <c r="K862" s="502" t="s">
        <v>1308</v>
      </c>
      <c r="L862" s="901"/>
      <c r="M862" s="911"/>
      <c r="N862" s="912"/>
      <c r="O862" s="449"/>
    </row>
    <row r="863" spans="2:15" ht="14.25" hidden="1" customHeight="1" outlineLevel="1">
      <c r="B863" s="504" t="s">
        <v>915</v>
      </c>
      <c r="C863" s="15" t="str">
        <f>IFERROR(VLOOKUP(B863,MasterSheet!$B$6:$N$150,3,),"n/a")</f>
        <v>Cheese Stick</v>
      </c>
      <c r="D863" s="499">
        <v>3</v>
      </c>
      <c r="E863" s="505" t="str">
        <f>IFERROR(VLOOKUP(B863,[4]MasterSheet!$B$6:$N$144,10,),"N/a")</f>
        <v>pc</v>
      </c>
      <c r="F863" s="506">
        <f>IFERROR(VLOOKUP(B863,MasterSheet!$B$6:$N$150,11,),"N/a")</f>
        <v>3885</v>
      </c>
      <c r="G863" s="488">
        <f>IFERROR(D863*F863,"_")</f>
        <v>11655</v>
      </c>
      <c r="H863" s="905">
        <f>SUM(G863:G865)</f>
        <v>12574.527151515151</v>
      </c>
      <c r="I863" s="905">
        <f>SUM(H863:H865)</f>
        <v>12574.527151515151</v>
      </c>
      <c r="J863" s="491">
        <f>D863*$J$852</f>
        <v>43.5</v>
      </c>
      <c r="K863" s="501">
        <f>D863*$K$852</f>
        <v>27</v>
      </c>
      <c r="L863" s="501">
        <f>SUM(J863:K863)</f>
        <v>70.5</v>
      </c>
      <c r="M863" s="493"/>
      <c r="N863" s="507"/>
      <c r="O863" s="449"/>
    </row>
    <row r="864" spans="2:15" ht="14.25" hidden="1" customHeight="1" outlineLevel="1">
      <c r="B864" s="508" t="s">
        <v>999</v>
      </c>
      <c r="C864" s="15" t="str">
        <f>IFERROR(VLOOKUP(B864,MasterSheet!$B$6:$N$150,3,),"n/a")</f>
        <v>Palm Oil</v>
      </c>
      <c r="D864" s="499">
        <f>156*5%</f>
        <v>7.8000000000000007</v>
      </c>
      <c r="E864" s="505" t="str">
        <f>IFERROR(VLOOKUP(B864,[4]MasterSheet!$B$6:$N$144,10,),"N/a")</f>
        <v>g</v>
      </c>
      <c r="F864" s="506">
        <f>IFERROR(VLOOKUP(B864,MasterSheet!$B$6:$N$150,11,),"N/a")</f>
        <v>25.580404040404041</v>
      </c>
      <c r="G864" s="488">
        <f>IFERROR(D864*F864,"_")</f>
        <v>199.52715151515153</v>
      </c>
      <c r="H864" s="905"/>
      <c r="I864" s="905"/>
      <c r="J864" s="491">
        <f>D864*$J$852</f>
        <v>113.10000000000001</v>
      </c>
      <c r="K864" s="501">
        <f>D864*$K$852</f>
        <v>70.2</v>
      </c>
      <c r="L864" s="501">
        <f>SUM(J864:K864)</f>
        <v>183.3</v>
      </c>
      <c r="M864" s="493"/>
      <c r="N864" s="507"/>
      <c r="O864" s="449"/>
    </row>
    <row r="865" spans="2:15" ht="14.65" hidden="1" customHeight="1" outlineLevel="1" thickBot="1">
      <c r="B865" s="532" t="s">
        <v>1671</v>
      </c>
      <c r="C865" s="28" t="str">
        <f>IFERROR(VLOOKUP(B865,MasterSheet!$B$6:$N$521,3,),"n/a")</f>
        <v>BB.Q APPITIZER BOX</v>
      </c>
      <c r="D865" s="533">
        <v>1</v>
      </c>
      <c r="E865" s="534" t="str">
        <f>IFERROR(VLOOKUP(B865,[4]MasterSheet!$B$6:$N$515,10,),"N/a")</f>
        <v>ea</v>
      </c>
      <c r="F865" s="535">
        <f>IFERROR(VLOOKUP(B865,MasterSheet!$B$6:$N$521,11,),"N/a")</f>
        <v>720</v>
      </c>
      <c r="G865" s="536">
        <f>IFERROR(D865*F865,"_")</f>
        <v>720</v>
      </c>
      <c r="H865" s="906"/>
      <c r="I865" s="906"/>
      <c r="J865" s="528">
        <f>D865*$J$852</f>
        <v>14.5</v>
      </c>
      <c r="K865" s="529">
        <f>D865*$K$852</f>
        <v>9</v>
      </c>
      <c r="L865" s="529">
        <f>SUM(J865:K865)</f>
        <v>23.5</v>
      </c>
      <c r="M865" s="530"/>
      <c r="N865" s="531"/>
      <c r="O865" s="449"/>
    </row>
    <row r="866" spans="2:15" collapsed="1">
      <c r="B866" s="219" t="s">
        <v>1789</v>
      </c>
      <c r="C866" s="15" t="s">
        <v>1783</v>
      </c>
      <c r="D866" s="184">
        <f>E866*(1+$E$8)</f>
        <v>29700.000000000004</v>
      </c>
      <c r="E866" s="184">
        <v>27000</v>
      </c>
      <c r="F866" s="174">
        <f>H869</f>
        <v>10488.530642206641</v>
      </c>
      <c r="G866" s="489">
        <f>I869</f>
        <v>10488.530642206641</v>
      </c>
      <c r="H866" s="500">
        <f>F866/E866</f>
        <v>0.3884640978595052</v>
      </c>
      <c r="I866" s="500">
        <f>G866/E866</f>
        <v>0.3884640978595052</v>
      </c>
      <c r="J866" s="501">
        <f>VLOOKUP(B866,'SALES MIX'!B14:J104,4)</f>
        <v>0</v>
      </c>
      <c r="K866" s="501">
        <f>VLOOKUP(B866,'SALES MIX'!B14:J104,5)</f>
        <v>0</v>
      </c>
      <c r="L866" s="221" t="e">
        <f>((F866*J866)+(G866*K866))/((J866+K866)*E866)</f>
        <v>#DIV/0!</v>
      </c>
      <c r="M866" s="493"/>
      <c r="N866" s="493"/>
      <c r="O866" s="449"/>
    </row>
    <row r="867" spans="2:15" ht="14.65" hidden="1" customHeight="1" outlineLevel="1" thickTop="1">
      <c r="B867" s="913" t="s">
        <v>608</v>
      </c>
      <c r="C867" s="914" t="s">
        <v>1305</v>
      </c>
      <c r="D867" s="915" t="s">
        <v>1306</v>
      </c>
      <c r="E867" s="915" t="s">
        <v>60</v>
      </c>
      <c r="F867" s="915" t="s">
        <v>615</v>
      </c>
      <c r="G867" s="915" t="s">
        <v>755</v>
      </c>
      <c r="H867" s="907" t="s">
        <v>1312</v>
      </c>
      <c r="I867" s="907"/>
      <c r="J867" s="907" t="s">
        <v>1319</v>
      </c>
      <c r="K867" s="907"/>
      <c r="L867" s="908" t="s">
        <v>1313</v>
      </c>
      <c r="M867" s="909" t="s">
        <v>912</v>
      </c>
      <c r="N867" s="910"/>
      <c r="O867" s="449"/>
    </row>
    <row r="868" spans="2:15" ht="14.65" hidden="1" customHeight="1" outlineLevel="1" thickBot="1">
      <c r="B868" s="894"/>
      <c r="C868" s="896"/>
      <c r="D868" s="898"/>
      <c r="E868" s="898"/>
      <c r="F868" s="898"/>
      <c r="G868" s="898"/>
      <c r="H868" s="502" t="s">
        <v>1309</v>
      </c>
      <c r="I868" s="502" t="s">
        <v>1308</v>
      </c>
      <c r="J868" s="502" t="s">
        <v>1309</v>
      </c>
      <c r="K868" s="502" t="s">
        <v>1308</v>
      </c>
      <c r="L868" s="901"/>
      <c r="M868" s="911"/>
      <c r="N868" s="912"/>
      <c r="O868" s="449"/>
    </row>
    <row r="869" spans="2:15" ht="14.25" hidden="1" customHeight="1" outlineLevel="1">
      <c r="B869" s="504" t="s">
        <v>1044</v>
      </c>
      <c r="C869" s="15" t="str">
        <f>IFERROR(VLOOKUP(B869,MasterSheet!$B$6:$N$150,3,),"n/a")</f>
        <v>Chicken Nugget</v>
      </c>
      <c r="D869" s="499">
        <f>26*4</f>
        <v>104</v>
      </c>
      <c r="E869" s="505" t="str">
        <f>IFERROR(VLOOKUP(B869,[4]MasterSheet!$B$6:$N$144,10,),"N/a")</f>
        <v>g</v>
      </c>
      <c r="F869" s="506">
        <f>IFERROR(VLOOKUP(B869,MasterSheet!$B$6:$N$150,11,),"N/a")</f>
        <v>73.40425531914893</v>
      </c>
      <c r="G869" s="488">
        <f>IFERROR(D869*F869,"_")</f>
        <v>7634.0425531914889</v>
      </c>
      <c r="H869" s="905">
        <f>SUM(G869:G873)</f>
        <v>10488.530642206641</v>
      </c>
      <c r="I869" s="905">
        <f>SUM(G869:G873)</f>
        <v>10488.530642206641</v>
      </c>
      <c r="J869" s="491">
        <f>D869*$J$866</f>
        <v>0</v>
      </c>
      <c r="K869" s="501">
        <f>D869*$K$866</f>
        <v>0</v>
      </c>
      <c r="L869" s="501">
        <f>SUM(J869:K869)</f>
        <v>0</v>
      </c>
      <c r="M869" s="493"/>
      <c r="N869" s="507"/>
      <c r="O869" s="449"/>
    </row>
    <row r="870" spans="2:15" ht="14.25" hidden="1" customHeight="1" outlineLevel="1">
      <c r="B870" s="508" t="s">
        <v>999</v>
      </c>
      <c r="C870" s="15" t="str">
        <f>IFERROR(VLOOKUP(B870,MasterSheet!$B$6:$N$150,3,),"n/a")</f>
        <v>Palm Oil</v>
      </c>
      <c r="D870" s="499">
        <f>156*5%</f>
        <v>7.8000000000000007</v>
      </c>
      <c r="E870" s="505" t="str">
        <f>IFERROR(VLOOKUP(B870,[4]MasterSheet!$B$6:$N$144,10,),"N/a")</f>
        <v>g</v>
      </c>
      <c r="F870" s="506">
        <f>IFERROR(VLOOKUP(B870,MasterSheet!$B$6:$N$150,11,),"N/a")</f>
        <v>25.580404040404041</v>
      </c>
      <c r="G870" s="488">
        <f>IFERROR(D870*F870,"_")</f>
        <v>199.52715151515153</v>
      </c>
      <c r="H870" s="905"/>
      <c r="I870" s="905"/>
      <c r="J870" s="491">
        <f>D870*$J$866</f>
        <v>0</v>
      </c>
      <c r="K870" s="501">
        <f>D870*$K$866</f>
        <v>0</v>
      </c>
      <c r="L870" s="501">
        <f>SUM(J870:K870)</f>
        <v>0</v>
      </c>
      <c r="M870" s="493"/>
      <c r="N870" s="507"/>
      <c r="O870" s="449"/>
    </row>
    <row r="871" spans="2:15" ht="14.25" hidden="1" customHeight="1" outlineLevel="1">
      <c r="B871" s="508" t="s">
        <v>1786</v>
      </c>
      <c r="C871" s="15" t="str">
        <f>IFERROR(VLOOKUP(B871,MasterSheet!$B$6:$N$150,3,),"n/a")</f>
        <v>Honey pepper Sauce</v>
      </c>
      <c r="D871" s="499">
        <v>15</v>
      </c>
      <c r="E871" s="505" t="str">
        <f>IFERROR(VLOOKUP(B871,[4]MasterSheet!$B$6:$N$144,10,),"N/a")</f>
        <v>g</v>
      </c>
      <c r="F871" s="506">
        <f>IFERROR(VLOOKUP(B871,MasterSheet!$B$6:$N$1007,11,),"N/a")</f>
        <v>118.99739583333333</v>
      </c>
      <c r="G871" s="488">
        <f>IFERROR(D871*F871,"_")</f>
        <v>1784.9609375</v>
      </c>
      <c r="H871" s="905"/>
      <c r="I871" s="905"/>
      <c r="J871" s="491">
        <f>D871*$J$866</f>
        <v>0</v>
      </c>
      <c r="K871" s="501">
        <f>D871*$K$866</f>
        <v>0</v>
      </c>
      <c r="L871" s="501"/>
      <c r="M871" s="493"/>
      <c r="N871" s="507"/>
      <c r="O871" s="449"/>
    </row>
    <row r="872" spans="2:15" ht="14.25" hidden="1" customHeight="1" outlineLevel="1">
      <c r="B872" s="508" t="s">
        <v>1787</v>
      </c>
      <c r="C872" s="15" t="str">
        <f>IFERROR(VLOOKUP(B872,MasterSheet!$B$6:$N$1007,3,),"n/a")</f>
        <v>ROUND SAUCE #35ML</v>
      </c>
      <c r="D872" s="499">
        <v>1</v>
      </c>
      <c r="E872" s="505" t="str">
        <f>IFERROR(VLOOKUP(B872,[4]MasterSheet!$B$6:$N$1001,10,),"N/a")</f>
        <v>ea</v>
      </c>
      <c r="F872" s="506">
        <f>IFERROR(VLOOKUP(B872,MasterSheet!$B$6:$N$1007,11,),"N/a")</f>
        <v>200</v>
      </c>
      <c r="G872" s="488">
        <f>IFERROR(D872*F872,"_")</f>
        <v>200</v>
      </c>
      <c r="H872" s="905"/>
      <c r="I872" s="905"/>
      <c r="J872" s="491">
        <f>D872*$J$866</f>
        <v>0</v>
      </c>
      <c r="K872" s="501">
        <f>D872*$K$866</f>
        <v>0</v>
      </c>
      <c r="L872" s="501"/>
      <c r="M872" s="493"/>
      <c r="N872" s="507"/>
      <c r="O872" s="449"/>
    </row>
    <row r="873" spans="2:15" ht="14.65" hidden="1" customHeight="1" outlineLevel="1" thickBot="1">
      <c r="B873" s="532" t="s">
        <v>1322</v>
      </c>
      <c r="C873" s="28" t="str">
        <f>IFERROR(VLOOKUP(B873,MasterSheet!$B$6:$N$521,3,),"n/a")</f>
        <v>BB.Q CHAMSHELL BOX</v>
      </c>
      <c r="D873" s="533">
        <v>1</v>
      </c>
      <c r="E873" s="534" t="str">
        <f>IFERROR(VLOOKUP(B873,[4]MasterSheet!$B$6:$N$515,10,),"N/a")</f>
        <v>ea</v>
      </c>
      <c r="F873" s="535">
        <f>IFERROR(VLOOKUP(B873,MasterSheet!$B$6:$N$1007,11,),"N/a")</f>
        <v>670</v>
      </c>
      <c r="G873" s="536">
        <f>IFERROR(D873*F873,"_")</f>
        <v>670</v>
      </c>
      <c r="H873" s="906"/>
      <c r="I873" s="906"/>
      <c r="J873" s="528">
        <f>D873*$J$866</f>
        <v>0</v>
      </c>
      <c r="K873" s="529">
        <f>D873*$K$866</f>
        <v>0</v>
      </c>
      <c r="L873" s="529">
        <f>SUM(J873:K873)</f>
        <v>0</v>
      </c>
      <c r="M873" s="530"/>
      <c r="N873" s="531"/>
      <c r="O873" s="449"/>
    </row>
    <row r="874" spans="2:15" collapsed="1">
      <c r="B874" s="219" t="s">
        <v>1791</v>
      </c>
      <c r="C874" s="15" t="s">
        <v>1788</v>
      </c>
      <c r="D874" s="184">
        <f>E874*(1+$E$8)</f>
        <v>29700.000000000004</v>
      </c>
      <c r="E874" s="184">
        <v>27000</v>
      </c>
      <c r="F874" s="174">
        <f>H877</f>
        <v>10582.475954706641</v>
      </c>
      <c r="G874" s="489">
        <f>I877</f>
        <v>10582.475954706641</v>
      </c>
      <c r="H874" s="500">
        <f>F874/E874</f>
        <v>0.39194355387802371</v>
      </c>
      <c r="I874" s="500">
        <f>G874/E874</f>
        <v>0.39194355387802371</v>
      </c>
      <c r="J874" s="501">
        <f>VLOOKUP(B874,'SALES MIX'!B14:J104,4)</f>
        <v>0</v>
      </c>
      <c r="K874" s="501">
        <f>VLOOKUP(B874,'SALES MIX'!B14:J104,5)</f>
        <v>0</v>
      </c>
      <c r="L874" s="221" t="e">
        <f>((F874*J874)+(G874*K874))/((J874+K874)*E874)</f>
        <v>#DIV/0!</v>
      </c>
      <c r="M874" s="493"/>
      <c r="N874" s="493"/>
      <c r="O874" s="449"/>
    </row>
    <row r="875" spans="2:15" ht="14.65" hidden="1" customHeight="1" outlineLevel="1" thickTop="1">
      <c r="B875" s="913" t="s">
        <v>608</v>
      </c>
      <c r="C875" s="914" t="s">
        <v>1305</v>
      </c>
      <c r="D875" s="915" t="s">
        <v>1306</v>
      </c>
      <c r="E875" s="915" t="s">
        <v>60</v>
      </c>
      <c r="F875" s="915" t="s">
        <v>615</v>
      </c>
      <c r="G875" s="915" t="s">
        <v>755</v>
      </c>
      <c r="H875" s="907" t="s">
        <v>1312</v>
      </c>
      <c r="I875" s="907"/>
      <c r="J875" s="907" t="s">
        <v>1319</v>
      </c>
      <c r="K875" s="907"/>
      <c r="L875" s="908" t="s">
        <v>1313</v>
      </c>
      <c r="M875" s="909" t="s">
        <v>912</v>
      </c>
      <c r="N875" s="910"/>
      <c r="O875" s="449"/>
    </row>
    <row r="876" spans="2:15" ht="14.65" hidden="1" customHeight="1" outlineLevel="1" thickBot="1">
      <c r="B876" s="894"/>
      <c r="C876" s="896"/>
      <c r="D876" s="898"/>
      <c r="E876" s="898"/>
      <c r="F876" s="898"/>
      <c r="G876" s="898"/>
      <c r="H876" s="502" t="s">
        <v>1309</v>
      </c>
      <c r="I876" s="502" t="s">
        <v>1308</v>
      </c>
      <c r="J876" s="502" t="s">
        <v>1309</v>
      </c>
      <c r="K876" s="502" t="s">
        <v>1308</v>
      </c>
      <c r="L876" s="901"/>
      <c r="M876" s="911"/>
      <c r="N876" s="912"/>
      <c r="O876" s="449"/>
    </row>
    <row r="877" spans="2:15" ht="14.25" hidden="1" customHeight="1" outlineLevel="1">
      <c r="B877" s="504" t="s">
        <v>1044</v>
      </c>
      <c r="C877" s="15" t="str">
        <f>IFERROR(VLOOKUP(B877,MasterSheet!$B$6:$N$150,3,),"n/a")</f>
        <v>Chicken Nugget</v>
      </c>
      <c r="D877" s="499">
        <f>26*4</f>
        <v>104</v>
      </c>
      <c r="E877" s="505" t="str">
        <f>IFERROR(VLOOKUP(B877,[4]MasterSheet!$B$6:$N$144,10,),"N/a")</f>
        <v>g</v>
      </c>
      <c r="F877" s="506">
        <f>IFERROR(VLOOKUP(B877,MasterSheet!$B$6:$N$150,11,),"N/a")</f>
        <v>73.40425531914893</v>
      </c>
      <c r="G877" s="488">
        <f>IFERROR(D877*F877,"_")</f>
        <v>7634.0425531914889</v>
      </c>
      <c r="H877" s="905">
        <f>SUM(G877:G881)</f>
        <v>10582.475954706641</v>
      </c>
      <c r="I877" s="905">
        <f>SUM(G877:G881)</f>
        <v>10582.475954706641</v>
      </c>
      <c r="J877" s="491">
        <f>D877*$J$874</f>
        <v>0</v>
      </c>
      <c r="K877" s="501">
        <f>D877*$K$874</f>
        <v>0</v>
      </c>
      <c r="L877" s="501">
        <f>SUM(J877:K877)</f>
        <v>0</v>
      </c>
      <c r="M877" s="493"/>
      <c r="N877" s="507"/>
      <c r="O877" s="449"/>
    </row>
    <row r="878" spans="2:15" ht="14.25" hidden="1" customHeight="1" outlineLevel="1">
      <c r="B878" s="508" t="s">
        <v>999</v>
      </c>
      <c r="C878" s="15" t="str">
        <f>IFERROR(VLOOKUP(B878,MasterSheet!$B$6:$N$150,3,),"n/a")</f>
        <v>Palm Oil</v>
      </c>
      <c r="D878" s="499">
        <f>156*5%</f>
        <v>7.8000000000000007</v>
      </c>
      <c r="E878" s="505" t="str">
        <f>IFERROR(VLOOKUP(B878,[4]MasterSheet!$B$6:$N$144,10,),"N/a")</f>
        <v>g</v>
      </c>
      <c r="F878" s="506">
        <f>IFERROR(VLOOKUP(B878,MasterSheet!$B$6:$N$150,11,),"N/a")</f>
        <v>25.580404040404041</v>
      </c>
      <c r="G878" s="488">
        <f>IFERROR(D878*F878,"_")</f>
        <v>199.52715151515153</v>
      </c>
      <c r="H878" s="905"/>
      <c r="I878" s="905"/>
      <c r="J878" s="491">
        <f>D878*$J$874</f>
        <v>0</v>
      </c>
      <c r="K878" s="501">
        <f>D878*$K$874</f>
        <v>0</v>
      </c>
      <c r="L878" s="501">
        <f>SUM(J878:K878)</f>
        <v>0</v>
      </c>
      <c r="M878" s="493"/>
      <c r="N878" s="507"/>
      <c r="O878" s="449"/>
    </row>
    <row r="879" spans="2:15" ht="14.25" hidden="1" customHeight="1" outlineLevel="1">
      <c r="B879" s="508" t="s">
        <v>1780</v>
      </c>
      <c r="C879" s="15" t="str">
        <f>IFERROR(VLOOKUP(B879,MasterSheet!$B$6:$N$150,3,),"n/a")</f>
        <v>Mala Hot Sauce</v>
      </c>
      <c r="D879" s="499">
        <v>15</v>
      </c>
      <c r="E879" s="505" t="str">
        <f>IFERROR(VLOOKUP(B879,[4]MasterSheet!$B$6:$N$144,10,),"N/a")</f>
        <v>g</v>
      </c>
      <c r="F879" s="506">
        <f>IFERROR(VLOOKUP(B879,MasterSheet!$B$6:$N$1007,11,),"N/a")</f>
        <v>125.26041666666667</v>
      </c>
      <c r="G879" s="488">
        <f>IFERROR(D879*F879,"_")</f>
        <v>1878.90625</v>
      </c>
      <c r="H879" s="905"/>
      <c r="I879" s="905"/>
      <c r="J879" s="491">
        <f>D879*$J$874</f>
        <v>0</v>
      </c>
      <c r="K879" s="501">
        <f>D879*$K$874</f>
        <v>0</v>
      </c>
      <c r="L879" s="501"/>
      <c r="M879" s="493"/>
      <c r="N879" s="507"/>
      <c r="O879" s="449"/>
    </row>
    <row r="880" spans="2:15" ht="14.25" hidden="1" customHeight="1" outlineLevel="1">
      <c r="B880" s="508" t="s">
        <v>1787</v>
      </c>
      <c r="C880" s="15" t="str">
        <f>IFERROR(VLOOKUP(B880,MasterSheet!$B$6:$N$1007,3,),"n/a")</f>
        <v>ROUND SAUCE #35ML</v>
      </c>
      <c r="D880" s="499">
        <v>1</v>
      </c>
      <c r="E880" s="505" t="str">
        <f>IFERROR(VLOOKUP(B880,[4]MasterSheet!$B$6:$N$1001,10,),"N/a")</f>
        <v>ea</v>
      </c>
      <c r="F880" s="506">
        <f>IFERROR(VLOOKUP(B880,MasterSheet!$B$6:$N$1007,11,),"N/a")</f>
        <v>200</v>
      </c>
      <c r="G880" s="488">
        <f>IFERROR(D880*F880,"_")</f>
        <v>200</v>
      </c>
      <c r="H880" s="905"/>
      <c r="I880" s="905"/>
      <c r="J880" s="491">
        <f>D880*$J$874</f>
        <v>0</v>
      </c>
      <c r="K880" s="501">
        <f>D880*$K$874</f>
        <v>0</v>
      </c>
      <c r="L880" s="501"/>
      <c r="M880" s="493"/>
      <c r="N880" s="507"/>
      <c r="O880" s="449"/>
    </row>
    <row r="881" spans="2:15" ht="14.65" hidden="1" customHeight="1" outlineLevel="1" thickBot="1">
      <c r="B881" s="532" t="s">
        <v>1322</v>
      </c>
      <c r="C881" s="28" t="str">
        <f>IFERROR(VLOOKUP(B881,MasterSheet!$B$6:$N$521,3,),"n/a")</f>
        <v>BB.Q CHAMSHELL BOX</v>
      </c>
      <c r="D881" s="533">
        <v>1</v>
      </c>
      <c r="E881" s="534" t="str">
        <f>IFERROR(VLOOKUP(B881,[4]MasterSheet!$B$6:$N$515,10,),"N/a")</f>
        <v>ea</v>
      </c>
      <c r="F881" s="535">
        <f>IFERROR(VLOOKUP(B881,MasterSheet!$B$6:$N$1007,11,),"N/a")</f>
        <v>670</v>
      </c>
      <c r="G881" s="536">
        <f>IFERROR(D881*F881,"_")</f>
        <v>670</v>
      </c>
      <c r="H881" s="906"/>
      <c r="I881" s="906"/>
      <c r="J881" s="528">
        <f>D881*$J$874</f>
        <v>0</v>
      </c>
      <c r="K881" s="529">
        <f>D881*$K$874</f>
        <v>0</v>
      </c>
      <c r="L881" s="529">
        <f>SUM(J881:K881)</f>
        <v>0</v>
      </c>
      <c r="M881" s="530"/>
      <c r="N881" s="531"/>
      <c r="O881" s="449"/>
    </row>
    <row r="882" spans="2:15" collapsed="1">
      <c r="B882" s="219" t="s">
        <v>1793</v>
      </c>
      <c r="C882" s="15" t="s">
        <v>1790</v>
      </c>
      <c r="D882" s="184">
        <f>E882*(1+$E$8)</f>
        <v>39600</v>
      </c>
      <c r="E882" s="184">
        <v>36000</v>
      </c>
      <c r="F882" s="174">
        <f>H885</f>
        <v>14305.551918802385</v>
      </c>
      <c r="G882" s="489">
        <f>I885</f>
        <v>14305.551918802385</v>
      </c>
      <c r="H882" s="500">
        <f>F882/E882</f>
        <v>0.39737644218895513</v>
      </c>
      <c r="I882" s="500">
        <f>G882/E882</f>
        <v>0.39737644218895513</v>
      </c>
      <c r="J882" s="501">
        <f>VLOOKUP(B882,'SALES MIX'!B14:J104,4)</f>
        <v>0</v>
      </c>
      <c r="K882" s="501">
        <f>VLOOKUP(B882,'SALES MIX'!B14:J104,5)</f>
        <v>0</v>
      </c>
      <c r="L882" s="221" t="e">
        <f>((F882*J882)+(G882*K882))/((J882+K882)*E882)</f>
        <v>#DIV/0!</v>
      </c>
      <c r="M882" s="493"/>
      <c r="N882" s="493"/>
      <c r="O882" s="449"/>
    </row>
    <row r="883" spans="2:15" ht="14.65" hidden="1" customHeight="1" outlineLevel="1" thickTop="1">
      <c r="B883" s="913" t="s">
        <v>608</v>
      </c>
      <c r="C883" s="914" t="s">
        <v>1305</v>
      </c>
      <c r="D883" s="915" t="s">
        <v>1306</v>
      </c>
      <c r="E883" s="915" t="s">
        <v>60</v>
      </c>
      <c r="F883" s="915" t="s">
        <v>615</v>
      </c>
      <c r="G883" s="915" t="s">
        <v>755</v>
      </c>
      <c r="H883" s="907" t="s">
        <v>1312</v>
      </c>
      <c r="I883" s="907"/>
      <c r="J883" s="907" t="s">
        <v>1319</v>
      </c>
      <c r="K883" s="907"/>
      <c r="L883" s="908" t="s">
        <v>1313</v>
      </c>
      <c r="M883" s="909" t="s">
        <v>912</v>
      </c>
      <c r="N883" s="910"/>
      <c r="O883" s="449"/>
    </row>
    <row r="884" spans="2:15" ht="14.65" hidden="1" customHeight="1" outlineLevel="1" thickBot="1">
      <c r="B884" s="894"/>
      <c r="C884" s="896"/>
      <c r="D884" s="898"/>
      <c r="E884" s="898"/>
      <c r="F884" s="898"/>
      <c r="G884" s="898"/>
      <c r="H884" s="502" t="s">
        <v>1309</v>
      </c>
      <c r="I884" s="502" t="s">
        <v>1308</v>
      </c>
      <c r="J884" s="502" t="s">
        <v>1309</v>
      </c>
      <c r="K884" s="502" t="s">
        <v>1308</v>
      </c>
      <c r="L884" s="901"/>
      <c r="M884" s="911"/>
      <c r="N884" s="912"/>
      <c r="O884" s="449"/>
    </row>
    <row r="885" spans="2:15" ht="14.25" hidden="1" customHeight="1" outlineLevel="1">
      <c r="B885" s="504" t="s">
        <v>1044</v>
      </c>
      <c r="C885" s="15" t="str">
        <f>IFERROR(VLOOKUP(B885,MasterSheet!$B$6:$N$150,3,),"n/a")</f>
        <v>Chicken Nugget</v>
      </c>
      <c r="D885" s="499">
        <f>26*6</f>
        <v>156</v>
      </c>
      <c r="E885" s="505" t="str">
        <f>IFERROR(VLOOKUP(B885,[4]MasterSheet!$B$6:$N$144,10,),"N/a")</f>
        <v>g</v>
      </c>
      <c r="F885" s="506">
        <f>IFERROR(VLOOKUP(B885,MasterSheet!$B$6:$N$150,11,),"N/a")</f>
        <v>73.40425531914893</v>
      </c>
      <c r="G885" s="488">
        <f>IFERROR(D885*F885,"_")</f>
        <v>11451.063829787234</v>
      </c>
      <c r="H885" s="905">
        <f>SUM(G885:G889)</f>
        <v>14305.551918802385</v>
      </c>
      <c r="I885" s="905">
        <f>SUM(G885:G889)</f>
        <v>14305.551918802385</v>
      </c>
      <c r="J885" s="491">
        <f>D885*$J$882</f>
        <v>0</v>
      </c>
      <c r="K885" s="501">
        <f>D885*$K$882</f>
        <v>0</v>
      </c>
      <c r="L885" s="501">
        <f>SUM(J885:K885)</f>
        <v>0</v>
      </c>
      <c r="M885" s="493"/>
      <c r="N885" s="507"/>
      <c r="O885" s="449"/>
    </row>
    <row r="886" spans="2:15" ht="14.25" hidden="1" customHeight="1" outlineLevel="1">
      <c r="B886" s="508" t="s">
        <v>999</v>
      </c>
      <c r="C886" s="15" t="str">
        <f>IFERROR(VLOOKUP(B886,MasterSheet!$B$6:$N$150,3,),"n/a")</f>
        <v>Palm Oil</v>
      </c>
      <c r="D886" s="499">
        <f>156*5%</f>
        <v>7.8000000000000007</v>
      </c>
      <c r="E886" s="505" t="str">
        <f>IFERROR(VLOOKUP(B886,[4]MasterSheet!$B$6:$N$144,10,),"N/a")</f>
        <v>g</v>
      </c>
      <c r="F886" s="506">
        <f>IFERROR(VLOOKUP(B886,MasterSheet!$B$6:$N$150,11,),"N/a")</f>
        <v>25.580404040404041</v>
      </c>
      <c r="G886" s="488">
        <f>IFERROR(D886*F886,"_")</f>
        <v>199.52715151515153</v>
      </c>
      <c r="H886" s="905"/>
      <c r="I886" s="905"/>
      <c r="J886" s="491">
        <f>D886*$J$882</f>
        <v>0</v>
      </c>
      <c r="K886" s="501">
        <f>D886*$K$882</f>
        <v>0</v>
      </c>
      <c r="L886" s="501">
        <f>SUM(J886:K886)</f>
        <v>0</v>
      </c>
      <c r="M886" s="493"/>
      <c r="N886" s="507"/>
      <c r="O886" s="449"/>
    </row>
    <row r="887" spans="2:15" ht="14.25" hidden="1" customHeight="1" outlineLevel="1">
      <c r="B887" s="508" t="s">
        <v>1786</v>
      </c>
      <c r="C887" s="15" t="str">
        <f>IFERROR(VLOOKUP(B887,MasterSheet!$B$6:$N$150,3,),"n/a")</f>
        <v>Honey pepper Sauce</v>
      </c>
      <c r="D887" s="499">
        <v>15</v>
      </c>
      <c r="E887" s="505" t="str">
        <f>IFERROR(VLOOKUP(B887,[4]MasterSheet!$B$6:$N$144,10,),"N/a")</f>
        <v>g</v>
      </c>
      <c r="F887" s="506">
        <f>IFERROR(VLOOKUP(B887,MasterSheet!$B$6:$N$1007,11,),"N/a")</f>
        <v>118.99739583333333</v>
      </c>
      <c r="G887" s="488">
        <f>IFERROR(D887*F887,"_")</f>
        <v>1784.9609375</v>
      </c>
      <c r="H887" s="905"/>
      <c r="I887" s="905"/>
      <c r="J887" s="491">
        <f>D887*$J$882</f>
        <v>0</v>
      </c>
      <c r="K887" s="501">
        <f>D887*$K$882</f>
        <v>0</v>
      </c>
      <c r="L887" s="501">
        <f>SUM(J887:K887)</f>
        <v>0</v>
      </c>
      <c r="M887" s="493"/>
      <c r="N887" s="507"/>
      <c r="O887" s="449"/>
    </row>
    <row r="888" spans="2:15" ht="14.25" hidden="1" customHeight="1" outlineLevel="1">
      <c r="B888" s="508" t="s">
        <v>1787</v>
      </c>
      <c r="C888" s="15" t="str">
        <f>IFERROR(VLOOKUP(B888,MasterSheet!$B$6:$N$1007,3,),"n/a")</f>
        <v>ROUND SAUCE #35ML</v>
      </c>
      <c r="D888" s="499">
        <v>1</v>
      </c>
      <c r="E888" s="505" t="str">
        <f>IFERROR(VLOOKUP(B888,[4]MasterSheet!$B$6:$N$1001,10,),"N/a")</f>
        <v>ea</v>
      </c>
      <c r="F888" s="506">
        <f>IFERROR(VLOOKUP(B888,MasterSheet!$B$6:$N$1007,11,),"N/a")</f>
        <v>200</v>
      </c>
      <c r="G888" s="488">
        <f>IFERROR(D888*F888,"_")</f>
        <v>200</v>
      </c>
      <c r="H888" s="905"/>
      <c r="I888" s="905"/>
      <c r="J888" s="491">
        <f>D888*$J$882</f>
        <v>0</v>
      </c>
      <c r="K888" s="501">
        <f>D888*$K$882</f>
        <v>0</v>
      </c>
      <c r="L888" s="501">
        <f>SUM(J888:K888)</f>
        <v>0</v>
      </c>
      <c r="M888" s="493"/>
      <c r="N888" s="507"/>
      <c r="O888" s="449"/>
    </row>
    <row r="889" spans="2:15" ht="14.65" hidden="1" customHeight="1" outlineLevel="1" thickBot="1">
      <c r="B889" s="532" t="s">
        <v>1322</v>
      </c>
      <c r="C889" s="28" t="str">
        <f>IFERROR(VLOOKUP(B889,MasterSheet!$B$6:$N$521,3,),"n/a")</f>
        <v>BB.Q CHAMSHELL BOX</v>
      </c>
      <c r="D889" s="533">
        <v>1</v>
      </c>
      <c r="E889" s="534" t="str">
        <f>IFERROR(VLOOKUP(B889,[4]MasterSheet!$B$6:$N$515,10,),"N/a")</f>
        <v>ea</v>
      </c>
      <c r="F889" s="535">
        <f>IFERROR(VLOOKUP(B889,MasterSheet!$B$6:$N$1007,11,),"N/a")</f>
        <v>670</v>
      </c>
      <c r="G889" s="536">
        <f>IFERROR(D889*F889,"_")</f>
        <v>670</v>
      </c>
      <c r="H889" s="906"/>
      <c r="I889" s="906"/>
      <c r="J889" s="528">
        <f>D889*$J$882</f>
        <v>0</v>
      </c>
      <c r="K889" s="529">
        <f>D889*$K$882</f>
        <v>0</v>
      </c>
      <c r="L889" s="529">
        <f>SUM(J889:K889)</f>
        <v>0</v>
      </c>
      <c r="M889" s="530"/>
      <c r="N889" s="531"/>
      <c r="O889" s="449"/>
    </row>
    <row r="890" spans="2:15" collapsed="1">
      <c r="B890" s="219" t="s">
        <v>1795</v>
      </c>
      <c r="C890" s="15" t="s">
        <v>1788</v>
      </c>
      <c r="D890" s="184">
        <f>E890*(1+$E$8)</f>
        <v>39600</v>
      </c>
      <c r="E890" s="184">
        <v>36000</v>
      </c>
      <c r="F890" s="174">
        <f>H893</f>
        <v>14399.497231302385</v>
      </c>
      <c r="G890" s="489">
        <f>I893</f>
        <v>14399.497231302385</v>
      </c>
      <c r="H890" s="500">
        <f>F890/E890</f>
        <v>0.39998603420284401</v>
      </c>
      <c r="I890" s="500">
        <f>G890/E890</f>
        <v>0.39998603420284401</v>
      </c>
      <c r="J890" s="501">
        <f>VLOOKUP(B890,'SALES MIX'!B14:J104,4)</f>
        <v>0</v>
      </c>
      <c r="K890" s="501">
        <f>VLOOKUP(B890,'SALES MIX'!B14:J104,5)</f>
        <v>0</v>
      </c>
      <c r="L890" s="221" t="e">
        <f>((F890*J890)+(G890*K890))/((J890+K890)*E890)</f>
        <v>#DIV/0!</v>
      </c>
      <c r="M890" s="493"/>
      <c r="N890" s="493"/>
      <c r="O890" s="449"/>
    </row>
    <row r="891" spans="2:15" ht="14.65" hidden="1" customHeight="1" outlineLevel="1" thickTop="1">
      <c r="B891" s="913" t="s">
        <v>608</v>
      </c>
      <c r="C891" s="914" t="s">
        <v>1305</v>
      </c>
      <c r="D891" s="915" t="s">
        <v>1306</v>
      </c>
      <c r="E891" s="915" t="s">
        <v>60</v>
      </c>
      <c r="F891" s="915" t="s">
        <v>615</v>
      </c>
      <c r="G891" s="915" t="s">
        <v>755</v>
      </c>
      <c r="H891" s="907" t="s">
        <v>1312</v>
      </c>
      <c r="I891" s="907"/>
      <c r="J891" s="907" t="s">
        <v>1319</v>
      </c>
      <c r="K891" s="907"/>
      <c r="L891" s="908" t="s">
        <v>1313</v>
      </c>
      <c r="M891" s="909" t="s">
        <v>912</v>
      </c>
      <c r="N891" s="910"/>
      <c r="O891" s="449"/>
    </row>
    <row r="892" spans="2:15" ht="14.65" hidden="1" customHeight="1" outlineLevel="1" thickBot="1">
      <c r="B892" s="894"/>
      <c r="C892" s="896"/>
      <c r="D892" s="898"/>
      <c r="E892" s="898"/>
      <c r="F892" s="898"/>
      <c r="G892" s="898"/>
      <c r="H892" s="502" t="s">
        <v>1309</v>
      </c>
      <c r="I892" s="502" t="s">
        <v>1308</v>
      </c>
      <c r="J892" s="502" t="s">
        <v>1309</v>
      </c>
      <c r="K892" s="502" t="s">
        <v>1308</v>
      </c>
      <c r="L892" s="901"/>
      <c r="M892" s="911"/>
      <c r="N892" s="912"/>
      <c r="O892" s="449"/>
    </row>
    <row r="893" spans="2:15" ht="14.25" hidden="1" customHeight="1" outlineLevel="1">
      <c r="B893" s="504" t="s">
        <v>1044</v>
      </c>
      <c r="C893" s="15" t="str">
        <f>IFERROR(VLOOKUP(B893,MasterSheet!$B$6:$N$150,3,),"n/a")</f>
        <v>Chicken Nugget</v>
      </c>
      <c r="D893" s="499">
        <f>26*6</f>
        <v>156</v>
      </c>
      <c r="E893" s="505" t="str">
        <f>IFERROR(VLOOKUP(B893,[4]MasterSheet!$B$6:$N$144,10,),"N/a")</f>
        <v>g</v>
      </c>
      <c r="F893" s="506">
        <f>IFERROR(VLOOKUP(B893,MasterSheet!$B$6:$N$150,11,),"N/a")</f>
        <v>73.40425531914893</v>
      </c>
      <c r="G893" s="488">
        <f>IFERROR(D893*F893,"_")</f>
        <v>11451.063829787234</v>
      </c>
      <c r="H893" s="905">
        <f>SUM(G893:G897)</f>
        <v>14399.497231302385</v>
      </c>
      <c r="I893" s="905">
        <f>SUM(G893:G897)</f>
        <v>14399.497231302385</v>
      </c>
      <c r="J893" s="491">
        <f>D893*$J$890</f>
        <v>0</v>
      </c>
      <c r="K893" s="501">
        <f>D893*$K$890</f>
        <v>0</v>
      </c>
      <c r="L893" s="501">
        <f>SUM(J893:K893)</f>
        <v>0</v>
      </c>
      <c r="M893" s="493"/>
      <c r="N893" s="507"/>
      <c r="O893" s="449"/>
    </row>
    <row r="894" spans="2:15" ht="14.25" hidden="1" customHeight="1" outlineLevel="1">
      <c r="B894" s="508" t="s">
        <v>999</v>
      </c>
      <c r="C894" s="15" t="str">
        <f>IFERROR(VLOOKUP(B894,MasterSheet!$B$6:$N$150,3,),"n/a")</f>
        <v>Palm Oil</v>
      </c>
      <c r="D894" s="499">
        <f>156*5%</f>
        <v>7.8000000000000007</v>
      </c>
      <c r="E894" s="505" t="str">
        <f>IFERROR(VLOOKUP(B894,[4]MasterSheet!$B$6:$N$144,10,),"N/a")</f>
        <v>g</v>
      </c>
      <c r="F894" s="506">
        <f>IFERROR(VLOOKUP(B894,MasterSheet!$B$6:$N$150,11,),"N/a")</f>
        <v>25.580404040404041</v>
      </c>
      <c r="G894" s="488">
        <f>IFERROR(D894*F894,"_")</f>
        <v>199.52715151515153</v>
      </c>
      <c r="H894" s="905"/>
      <c r="I894" s="905"/>
      <c r="J894" s="491">
        <f>D894*$J$890</f>
        <v>0</v>
      </c>
      <c r="K894" s="501">
        <f>D894*$K$890</f>
        <v>0</v>
      </c>
      <c r="L894" s="501">
        <f>SUM(J894:K894)</f>
        <v>0</v>
      </c>
      <c r="M894" s="493"/>
      <c r="N894" s="507"/>
      <c r="O894" s="449"/>
    </row>
    <row r="895" spans="2:15" ht="14.25" hidden="1" customHeight="1" outlineLevel="1">
      <c r="B895" s="508" t="s">
        <v>1780</v>
      </c>
      <c r="C895" s="15" t="str">
        <f>IFERROR(VLOOKUP(B895,MasterSheet!$B$6:$N$150,3,),"n/a")</f>
        <v>Mala Hot Sauce</v>
      </c>
      <c r="D895" s="499">
        <v>15</v>
      </c>
      <c r="E895" s="505" t="str">
        <f>IFERROR(VLOOKUP(B895,[4]MasterSheet!$B$6:$N$144,10,),"N/a")</f>
        <v>g</v>
      </c>
      <c r="F895" s="506">
        <f>IFERROR(VLOOKUP(B895,MasterSheet!$B$6:$N$1007,11,),"N/a")</f>
        <v>125.26041666666667</v>
      </c>
      <c r="G895" s="488">
        <f>IFERROR(D895*F895,"_")</f>
        <v>1878.90625</v>
      </c>
      <c r="H895" s="905"/>
      <c r="I895" s="905"/>
      <c r="J895" s="491">
        <f>D895*$J$890</f>
        <v>0</v>
      </c>
      <c r="K895" s="501">
        <f>D895*$K$890</f>
        <v>0</v>
      </c>
      <c r="L895" s="501">
        <f>SUM(J895:K895)</f>
        <v>0</v>
      </c>
      <c r="M895" s="493"/>
      <c r="N895" s="507"/>
      <c r="O895" s="449"/>
    </row>
    <row r="896" spans="2:15" ht="14.25" hidden="1" customHeight="1" outlineLevel="1">
      <c r="B896" s="508" t="s">
        <v>1787</v>
      </c>
      <c r="C896" s="15" t="str">
        <f>IFERROR(VLOOKUP(B896,MasterSheet!$B$6:$N$1007,3,),"n/a")</f>
        <v>ROUND SAUCE #35ML</v>
      </c>
      <c r="D896" s="499">
        <v>1</v>
      </c>
      <c r="E896" s="505" t="str">
        <f>IFERROR(VLOOKUP(B896,[4]MasterSheet!$B$6:$N$1001,10,),"N/a")</f>
        <v>ea</v>
      </c>
      <c r="F896" s="506">
        <f>IFERROR(VLOOKUP(B896,MasterSheet!$B$6:$N$1007,11,),"N/a")</f>
        <v>200</v>
      </c>
      <c r="G896" s="488">
        <f>IFERROR(D896*F896,"_")</f>
        <v>200</v>
      </c>
      <c r="H896" s="905"/>
      <c r="I896" s="905"/>
      <c r="J896" s="491">
        <f>D896*$J$890</f>
        <v>0</v>
      </c>
      <c r="K896" s="501">
        <f>D896*$K$890</f>
        <v>0</v>
      </c>
      <c r="L896" s="501">
        <f>SUM(J896:K896)</f>
        <v>0</v>
      </c>
      <c r="M896" s="493"/>
      <c r="N896" s="507"/>
      <c r="O896" s="449"/>
    </row>
    <row r="897" spans="2:15" ht="14.65" hidden="1" customHeight="1" outlineLevel="1" thickBot="1">
      <c r="B897" s="532" t="s">
        <v>1322</v>
      </c>
      <c r="C897" s="28" t="str">
        <f>IFERROR(VLOOKUP(B897,MasterSheet!$B$6:$N$521,3,),"n/a")</f>
        <v>BB.Q CHAMSHELL BOX</v>
      </c>
      <c r="D897" s="533">
        <v>1</v>
      </c>
      <c r="E897" s="534" t="str">
        <f>IFERROR(VLOOKUP(B897,[4]MasterSheet!$B$6:$N$515,10,),"N/a")</f>
        <v>ea</v>
      </c>
      <c r="F897" s="535">
        <f>IFERROR(VLOOKUP(B897,MasterSheet!$B$6:$N$1007,11,),"N/a")</f>
        <v>670</v>
      </c>
      <c r="G897" s="536">
        <f>IFERROR(D897*F897,"_")</f>
        <v>670</v>
      </c>
      <c r="H897" s="906"/>
      <c r="I897" s="906"/>
      <c r="J897" s="528">
        <f>D897*$J$890</f>
        <v>0</v>
      </c>
      <c r="K897" s="529">
        <f>D897*$K$890</f>
        <v>0</v>
      </c>
      <c r="L897" s="529">
        <f>SUM(J897:K897)</f>
        <v>0</v>
      </c>
      <c r="M897" s="530"/>
      <c r="N897" s="531"/>
      <c r="O897" s="449"/>
    </row>
    <row r="898" spans="2:15" collapsed="1">
      <c r="B898" s="219" t="s">
        <v>1796</v>
      </c>
      <c r="C898" s="15" t="s">
        <v>1797</v>
      </c>
      <c r="D898" s="184">
        <f>E898*(1+$E$8)</f>
        <v>19800</v>
      </c>
      <c r="E898" s="184">
        <v>18000</v>
      </c>
      <c r="F898" s="174">
        <f>H901</f>
        <v>7734.5271515151517</v>
      </c>
      <c r="G898" s="489">
        <f>I901</f>
        <v>7936.5271515151517</v>
      </c>
      <c r="H898" s="500">
        <f>F898/E898</f>
        <v>0.42969595286195289</v>
      </c>
      <c r="I898" s="500">
        <f>G898/E898</f>
        <v>0.44091817508417508</v>
      </c>
      <c r="J898" s="501">
        <f>VLOOKUP(B898,'SALES MIX'!B14:J104,4)</f>
        <v>21</v>
      </c>
      <c r="K898" s="501">
        <f>VLOOKUP(B898,'SALES MIX'!B14:J104,5)</f>
        <v>4</v>
      </c>
      <c r="L898" s="221">
        <f>((F898*J898)+(G898*K898))/((J898+K898)*E898)</f>
        <v>0.43149150841750844</v>
      </c>
      <c r="M898" s="493"/>
      <c r="N898" s="493"/>
      <c r="O898" s="449"/>
    </row>
    <row r="899" spans="2:15" ht="14.65" hidden="1" customHeight="1" outlineLevel="1" thickTop="1">
      <c r="B899" s="913" t="s">
        <v>608</v>
      </c>
      <c r="C899" s="914" t="s">
        <v>1305</v>
      </c>
      <c r="D899" s="915" t="s">
        <v>1306</v>
      </c>
      <c r="E899" s="915" t="s">
        <v>60</v>
      </c>
      <c r="F899" s="915" t="s">
        <v>615</v>
      </c>
      <c r="G899" s="915" t="s">
        <v>755</v>
      </c>
      <c r="H899" s="907" t="s">
        <v>1312</v>
      </c>
      <c r="I899" s="907"/>
      <c r="J899" s="907" t="s">
        <v>1319</v>
      </c>
      <c r="K899" s="907"/>
      <c r="L899" s="908" t="s">
        <v>1313</v>
      </c>
      <c r="M899" s="909" t="s">
        <v>912</v>
      </c>
      <c r="N899" s="910"/>
      <c r="O899" s="449"/>
    </row>
    <row r="900" spans="2:15" ht="14.65" hidden="1" customHeight="1" outlineLevel="1" thickBot="1">
      <c r="B900" s="894"/>
      <c r="C900" s="896"/>
      <c r="D900" s="898"/>
      <c r="E900" s="898"/>
      <c r="F900" s="898"/>
      <c r="G900" s="898"/>
      <c r="H900" s="502" t="s">
        <v>1309</v>
      </c>
      <c r="I900" s="502" t="s">
        <v>1308</v>
      </c>
      <c r="J900" s="502" t="s">
        <v>1309</v>
      </c>
      <c r="K900" s="502" t="s">
        <v>1308</v>
      </c>
      <c r="L900" s="901"/>
      <c r="M900" s="911"/>
      <c r="N900" s="912"/>
      <c r="O900" s="449"/>
    </row>
    <row r="901" spans="2:15" ht="14.25" hidden="1" customHeight="1" outlineLevel="1">
      <c r="B901" s="504" t="s">
        <v>724</v>
      </c>
      <c r="C901" s="15" t="str">
        <f>IFERROR(VLOOKUP(B901,MasterSheet!$B$6:$N$150,3,),"n/a")</f>
        <v>French Fries</v>
      </c>
      <c r="D901" s="499">
        <v>150</v>
      </c>
      <c r="E901" s="505" t="str">
        <f>IFERROR(VLOOKUP(B901,[4]MasterSheet!$B$6:$N$144,10,),"N/a")</f>
        <v>g</v>
      </c>
      <c r="F901" s="506">
        <f>IFERROR(VLOOKUP(B901,MasterSheet!$B$6:$N$150,11,),"N/a")</f>
        <v>46.666666666666664</v>
      </c>
      <c r="G901" s="488">
        <f>IFERROR(D901*F901,"_")</f>
        <v>7000</v>
      </c>
      <c r="H901" s="905">
        <f>SUM(G901:G903)</f>
        <v>7734.5271515151517</v>
      </c>
      <c r="I901" s="905">
        <f>SUM(G901:G902,G904)</f>
        <v>7936.5271515151517</v>
      </c>
      <c r="J901" s="491">
        <f>D901*$J$898</f>
        <v>3150</v>
      </c>
      <c r="K901" s="501">
        <f>D901*$K$898</f>
        <v>600</v>
      </c>
      <c r="L901" s="501">
        <f>SUM(J901:K901)</f>
        <v>3750</v>
      </c>
      <c r="M901" s="493"/>
      <c r="N901" s="507"/>
      <c r="O901" s="449"/>
    </row>
    <row r="902" spans="2:15" ht="14.25" hidden="1" customHeight="1" outlineLevel="1">
      <c r="B902" s="508" t="s">
        <v>999</v>
      </c>
      <c r="C902" s="15" t="str">
        <f>IFERROR(VLOOKUP(B902,MasterSheet!$B$6:$N$150,3,),"n/a")</f>
        <v>Palm Oil</v>
      </c>
      <c r="D902" s="499">
        <f>156*5%</f>
        <v>7.8000000000000007</v>
      </c>
      <c r="E902" s="505" t="str">
        <f>IFERROR(VLOOKUP(B902,[4]MasterSheet!$B$6:$N$144,10,),"N/a")</f>
        <v>g</v>
      </c>
      <c r="F902" s="506">
        <f>IFERROR(VLOOKUP(B902,MasterSheet!$B$6:$N$150,11,),"N/a")</f>
        <v>25.580404040404041</v>
      </c>
      <c r="G902" s="488">
        <f>IFERROR(D902*F902,"_")</f>
        <v>199.52715151515153</v>
      </c>
      <c r="H902" s="905"/>
      <c r="I902" s="905"/>
      <c r="J902" s="491">
        <f>D902*$J$898</f>
        <v>163.80000000000001</v>
      </c>
      <c r="K902" s="501">
        <f>D902*$K$898</f>
        <v>31.200000000000003</v>
      </c>
      <c r="L902" s="501">
        <f>SUM(J902:K902)</f>
        <v>195</v>
      </c>
      <c r="M902" s="493"/>
      <c r="N902" s="507"/>
      <c r="O902" s="449"/>
    </row>
    <row r="903" spans="2:15" ht="14.25" hidden="1" customHeight="1" outlineLevel="1">
      <c r="B903" s="508" t="s">
        <v>1798</v>
      </c>
      <c r="C903" s="15" t="str">
        <f>IFERROR(VLOOKUP(B903,MasterSheet!$B$6:$N$1007,3,),"n/a")</f>
        <v xml:space="preserve">BB.Q POTATO FRIES BOX (Dine-in) </v>
      </c>
      <c r="D903" s="499">
        <v>1</v>
      </c>
      <c r="E903" s="505" t="str">
        <f>IFERROR(VLOOKUP(B903,[4]MasterSheet!$B$6:$N$1001,10,),"N/a")</f>
        <v>ea</v>
      </c>
      <c r="F903" s="506">
        <f>IFERROR(VLOOKUP(B903,MasterSheet!$B$6:$N$1007,11,),"N/a")</f>
        <v>535</v>
      </c>
      <c r="G903" s="488">
        <f>IFERROR(D903*F903,"_")</f>
        <v>535</v>
      </c>
      <c r="H903" s="905"/>
      <c r="I903" s="905"/>
      <c r="J903" s="491">
        <f>D903*$J$898</f>
        <v>21</v>
      </c>
      <c r="K903" s="501">
        <f>D903*$K$898</f>
        <v>4</v>
      </c>
      <c r="L903" s="501">
        <f>SUM(J903:K903)</f>
        <v>25</v>
      </c>
      <c r="M903" s="493"/>
      <c r="N903" s="507"/>
      <c r="O903" s="449"/>
    </row>
    <row r="904" spans="2:15" ht="14.65" hidden="1" customHeight="1" outlineLevel="1" thickBot="1">
      <c r="B904" s="532" t="s">
        <v>1395</v>
      </c>
      <c r="C904" s="28" t="str">
        <f>IFERROR(VLOOKUP(B904,MasterSheet!$B$6:$N$521,3,),"n/a")</f>
        <v>BB.Q PAPER BAG FRIES (TakeAway)</v>
      </c>
      <c r="D904" s="533">
        <v>1</v>
      </c>
      <c r="E904" s="534" t="str">
        <f>IFERROR(VLOOKUP(B904,[4]MasterSheet!$B$6:$N$515,10,),"N/a")</f>
        <v>ea</v>
      </c>
      <c r="F904" s="535">
        <f>IFERROR(VLOOKUP(B904,MasterSheet!$B$6:$N$1007,11,),"N/a")</f>
        <v>737</v>
      </c>
      <c r="G904" s="536">
        <f>IFERROR(D904*F904,"_")</f>
        <v>737</v>
      </c>
      <c r="H904" s="906"/>
      <c r="I904" s="906"/>
      <c r="J904" s="528">
        <f>D904*$J$898</f>
        <v>21</v>
      </c>
      <c r="K904" s="529">
        <f>D904*$K$898</f>
        <v>4</v>
      </c>
      <c r="L904" s="529">
        <f>SUM(J904:K904)</f>
        <v>25</v>
      </c>
      <c r="M904" s="530"/>
      <c r="N904" s="531"/>
      <c r="O904" s="449"/>
    </row>
    <row r="905" spans="2:15" collapsed="1">
      <c r="B905" s="219" t="s">
        <v>1799</v>
      </c>
      <c r="C905" s="15" t="s">
        <v>1800</v>
      </c>
      <c r="D905" s="184">
        <f>E905*(1+$E$8)</f>
        <v>19800</v>
      </c>
      <c r="E905" s="184">
        <v>18000</v>
      </c>
      <c r="F905" s="174">
        <f>H908</f>
        <v>9206.9761311069888</v>
      </c>
      <c r="G905" s="489">
        <f>I908</f>
        <v>9408.9761311069888</v>
      </c>
      <c r="H905" s="500">
        <f>F905/E905</f>
        <v>0.51149867395038828</v>
      </c>
      <c r="I905" s="500">
        <f>G905/E905</f>
        <v>0.52272089617261053</v>
      </c>
      <c r="J905" s="501">
        <f>VLOOKUP(B905,'SALES MIX'!B14:J104,4)</f>
        <v>40</v>
      </c>
      <c r="K905" s="501">
        <f>VLOOKUP(B905,'SALES MIX'!B14:J104,5)</f>
        <v>12</v>
      </c>
      <c r="L905" s="221">
        <f>((F905*J905)+(G905*K905))/((J905+K905)*E905)</f>
        <v>0.5140884175401319</v>
      </c>
      <c r="M905" s="493"/>
      <c r="N905" s="493"/>
      <c r="O905" s="449"/>
    </row>
    <row r="906" spans="2:15" ht="14.65" hidden="1" customHeight="1" outlineLevel="1" thickTop="1">
      <c r="B906" s="913" t="s">
        <v>608</v>
      </c>
      <c r="C906" s="914" t="s">
        <v>1305</v>
      </c>
      <c r="D906" s="915" t="s">
        <v>1306</v>
      </c>
      <c r="E906" s="915" t="s">
        <v>60</v>
      </c>
      <c r="F906" s="915" t="s">
        <v>615</v>
      </c>
      <c r="G906" s="915" t="s">
        <v>755</v>
      </c>
      <c r="H906" s="907" t="s">
        <v>1312</v>
      </c>
      <c r="I906" s="907"/>
      <c r="J906" s="907" t="s">
        <v>1319</v>
      </c>
      <c r="K906" s="907"/>
      <c r="L906" s="908" t="s">
        <v>1313</v>
      </c>
      <c r="M906" s="909" t="s">
        <v>912</v>
      </c>
      <c r="N906" s="910"/>
      <c r="O906" s="449"/>
    </row>
    <row r="907" spans="2:15" ht="14.65" hidden="1" customHeight="1" outlineLevel="1" thickBot="1">
      <c r="B907" s="894"/>
      <c r="C907" s="896"/>
      <c r="D907" s="898"/>
      <c r="E907" s="898"/>
      <c r="F907" s="898"/>
      <c r="G907" s="898"/>
      <c r="H907" s="502" t="s">
        <v>1309</v>
      </c>
      <c r="I907" s="502" t="s">
        <v>1308</v>
      </c>
      <c r="J907" s="502" t="s">
        <v>1309</v>
      </c>
      <c r="K907" s="502" t="s">
        <v>1308</v>
      </c>
      <c r="L907" s="901"/>
      <c r="M907" s="911"/>
      <c r="N907" s="912"/>
      <c r="O907" s="449"/>
    </row>
    <row r="908" spans="2:15" ht="14.25" hidden="1" customHeight="1" outlineLevel="1">
      <c r="B908" s="504" t="s">
        <v>724</v>
      </c>
      <c r="C908" s="15" t="str">
        <f>IFERROR(VLOOKUP(B908,MasterSheet!$B$6:$N$150,3,),"n/a")</f>
        <v>French Fries</v>
      </c>
      <c r="D908" s="499">
        <v>150</v>
      </c>
      <c r="E908" s="505" t="str">
        <f>IFERROR(VLOOKUP(B908,[4]MasterSheet!$B$6:$N$144,10,),"N/a")</f>
        <v>g</v>
      </c>
      <c r="F908" s="506">
        <f>IFERROR(VLOOKUP(B908,MasterSheet!$B$6:$N$150,11,),"N/a")</f>
        <v>46.666666666666664</v>
      </c>
      <c r="G908" s="488">
        <f>IFERROR(D908*F908,"_")</f>
        <v>7000</v>
      </c>
      <c r="H908" s="905">
        <f>SUM(G908:G911)</f>
        <v>9206.9761311069888</v>
      </c>
      <c r="I908" s="905">
        <f>SUM(G908:G910,G912)</f>
        <v>9408.9761311069888</v>
      </c>
      <c r="J908" s="491">
        <f>D908*$J$905</f>
        <v>6000</v>
      </c>
      <c r="K908" s="501">
        <f>D908*$K$905</f>
        <v>1800</v>
      </c>
      <c r="L908" s="501">
        <f>SUM(J908:K908)</f>
        <v>7800</v>
      </c>
      <c r="M908" s="493"/>
      <c r="N908" s="507"/>
      <c r="O908" s="449"/>
    </row>
    <row r="909" spans="2:15" ht="14.25" hidden="1" customHeight="1" outlineLevel="1">
      <c r="B909" s="508" t="s">
        <v>999</v>
      </c>
      <c r="C909" s="15" t="str">
        <f>IFERROR(VLOOKUP(B909,MasterSheet!$B$6:$N$150,3,),"n/a")</f>
        <v>Palm Oil</v>
      </c>
      <c r="D909" s="499">
        <f>156*5%</f>
        <v>7.8000000000000007</v>
      </c>
      <c r="E909" s="505" t="str">
        <f>IFERROR(VLOOKUP(B909,[4]MasterSheet!$B$6:$N$144,10,),"N/a")</f>
        <v>g</v>
      </c>
      <c r="F909" s="506">
        <f>IFERROR(VLOOKUP(B909,MasterSheet!$B$6:$N$150,11,),"N/a")</f>
        <v>25.580404040404041</v>
      </c>
      <c r="G909" s="488">
        <f>IFERROR(D909*F909,"_")</f>
        <v>199.52715151515153</v>
      </c>
      <c r="H909" s="905"/>
      <c r="I909" s="905"/>
      <c r="J909" s="491">
        <f>D909*$J$905</f>
        <v>312</v>
      </c>
      <c r="K909" s="501">
        <f>D909*$K$905</f>
        <v>93.600000000000009</v>
      </c>
      <c r="L909" s="501">
        <f>SUM(J909:K909)</f>
        <v>405.6</v>
      </c>
      <c r="M909" s="493"/>
      <c r="N909" s="507"/>
      <c r="O909" s="449"/>
    </row>
    <row r="910" spans="2:15" ht="14.25" hidden="1" customHeight="1" outlineLevel="1">
      <c r="B910" s="508" t="s">
        <v>1779</v>
      </c>
      <c r="C910" s="15" t="str">
        <f>IFERROR(VLOOKUP(B910,MasterSheet!$B$6:$N$150,3,),"n/a")</f>
        <v xml:space="preserve">Cheese Taste Seasoning Mix </v>
      </c>
      <c r="D910" s="499">
        <v>5</v>
      </c>
      <c r="E910" s="505" t="str">
        <f>IFERROR(VLOOKUP(B910,[4]MasterSheet!$B$6:$N$144,10,),"N/a")</f>
        <v>g</v>
      </c>
      <c r="F910" s="506">
        <f>IFERROR(VLOOKUP(B910,MasterSheet!$B$6:$N$150,11,),"N/a")</f>
        <v>294.48979591836735</v>
      </c>
      <c r="G910" s="488">
        <f>IFERROR(D910*F910,"_")</f>
        <v>1472.4489795918366</v>
      </c>
      <c r="H910" s="905"/>
      <c r="I910" s="905"/>
      <c r="J910" s="491">
        <f>D910*$J$905</f>
        <v>200</v>
      </c>
      <c r="K910" s="501">
        <f>D910*$K$905</f>
        <v>60</v>
      </c>
      <c r="L910" s="501"/>
      <c r="M910" s="493"/>
      <c r="N910" s="507"/>
      <c r="O910" s="449"/>
    </row>
    <row r="911" spans="2:15" ht="14.25" hidden="1" customHeight="1" outlineLevel="1">
      <c r="B911" s="508" t="s">
        <v>1798</v>
      </c>
      <c r="C911" s="15" t="str">
        <f>IFERROR(VLOOKUP(B911,MasterSheet!$B$6:$N$1007,3,),"n/a")</f>
        <v xml:space="preserve">BB.Q POTATO FRIES BOX (Dine-in) </v>
      </c>
      <c r="D911" s="499">
        <v>1</v>
      </c>
      <c r="E911" s="505" t="str">
        <f>IFERROR(VLOOKUP(B911,[4]MasterSheet!$B$6:$N$1001,10,),"N/a")</f>
        <v>ea</v>
      </c>
      <c r="F911" s="506">
        <f>IFERROR(VLOOKUP(B911,MasterSheet!$B$6:$N$1007,11,),"N/a")</f>
        <v>535</v>
      </c>
      <c r="G911" s="488">
        <f>IFERROR(D911*F911,"_")</f>
        <v>535</v>
      </c>
      <c r="H911" s="905"/>
      <c r="I911" s="905"/>
      <c r="J911" s="491">
        <f>D911*$J$905</f>
        <v>40</v>
      </c>
      <c r="K911" s="501">
        <f>D911*$K$905</f>
        <v>12</v>
      </c>
      <c r="L911" s="501">
        <f>SUM(J911:K911)</f>
        <v>52</v>
      </c>
      <c r="M911" s="493"/>
      <c r="N911" s="507"/>
      <c r="O911" s="449"/>
    </row>
    <row r="912" spans="2:15" ht="14.65" hidden="1" customHeight="1" outlineLevel="1" thickBot="1">
      <c r="B912" s="532" t="s">
        <v>1395</v>
      </c>
      <c r="C912" s="28" t="str">
        <f>IFERROR(VLOOKUP(B912,MasterSheet!$B$6:$N$521,3,),"n/a")</f>
        <v>BB.Q PAPER BAG FRIES (TakeAway)</v>
      </c>
      <c r="D912" s="533">
        <v>1</v>
      </c>
      <c r="E912" s="534" t="str">
        <f>IFERROR(VLOOKUP(B912,[4]MasterSheet!$B$6:$N$515,10,),"N/a")</f>
        <v>ea</v>
      </c>
      <c r="F912" s="535">
        <f>IFERROR(VLOOKUP(B912,MasterSheet!$B$6:$N$1007,11,),"N/a")</f>
        <v>737</v>
      </c>
      <c r="G912" s="536">
        <f>IFERROR(D912*F912,"_")</f>
        <v>737</v>
      </c>
      <c r="H912" s="906"/>
      <c r="I912" s="906"/>
      <c r="J912" s="528">
        <f>D912*$J$905</f>
        <v>40</v>
      </c>
      <c r="K912" s="529">
        <f>D912*$K$905</f>
        <v>12</v>
      </c>
      <c r="L912" s="529">
        <f>SUM(J912:K912)</f>
        <v>52</v>
      </c>
      <c r="M912" s="530"/>
      <c r="N912" s="531"/>
      <c r="O912" s="449"/>
    </row>
    <row r="913" spans="2:15" collapsed="1">
      <c r="B913" s="219" t="s">
        <v>1802</v>
      </c>
      <c r="C913" s="15" t="s">
        <v>1803</v>
      </c>
      <c r="D913" s="184">
        <f>E913*(1+$E$8)</f>
        <v>19800</v>
      </c>
      <c r="E913" s="184">
        <v>18000</v>
      </c>
      <c r="F913" s="174">
        <f>H916</f>
        <v>8413.8240265151508</v>
      </c>
      <c r="G913" s="489">
        <f>I916</f>
        <v>8615.8240265151508</v>
      </c>
      <c r="H913" s="500">
        <f>F913/E913</f>
        <v>0.46743466813973061</v>
      </c>
      <c r="I913" s="500">
        <f>G913/E913</f>
        <v>0.4786568903619528</v>
      </c>
      <c r="J913" s="501">
        <f>VLOOKUP(B913,'SALES MIX'!B14:J104,4)</f>
        <v>7</v>
      </c>
      <c r="K913" s="501">
        <f>VLOOKUP(B913,'SALES MIX'!B14:J104,5)</f>
        <v>0</v>
      </c>
      <c r="L913" s="221">
        <f>((F913*J913)+(G913*K913))/((J913+K913)*E913)</f>
        <v>0.46743466813973056</v>
      </c>
      <c r="M913" s="493"/>
      <c r="N913" s="493"/>
      <c r="O913" s="449"/>
    </row>
    <row r="914" spans="2:15" ht="14.65" hidden="1" customHeight="1" outlineLevel="1" thickTop="1">
      <c r="B914" s="913" t="s">
        <v>608</v>
      </c>
      <c r="C914" s="914" t="s">
        <v>1305</v>
      </c>
      <c r="D914" s="915" t="s">
        <v>1306</v>
      </c>
      <c r="E914" s="915" t="s">
        <v>60</v>
      </c>
      <c r="F914" s="915" t="s">
        <v>615</v>
      </c>
      <c r="G914" s="915" t="s">
        <v>755</v>
      </c>
      <c r="H914" s="907" t="s">
        <v>1312</v>
      </c>
      <c r="I914" s="907"/>
      <c r="J914" s="907" t="s">
        <v>1319</v>
      </c>
      <c r="K914" s="907"/>
      <c r="L914" s="908" t="s">
        <v>1313</v>
      </c>
      <c r="M914" s="909" t="s">
        <v>912</v>
      </c>
      <c r="N914" s="910"/>
      <c r="O914" s="449"/>
    </row>
    <row r="915" spans="2:15" ht="14.65" hidden="1" customHeight="1" outlineLevel="1" thickBot="1">
      <c r="B915" s="894"/>
      <c r="C915" s="896"/>
      <c r="D915" s="898"/>
      <c r="E915" s="898"/>
      <c r="F915" s="898"/>
      <c r="G915" s="898"/>
      <c r="H915" s="502" t="s">
        <v>1309</v>
      </c>
      <c r="I915" s="502" t="s">
        <v>1308</v>
      </c>
      <c r="J915" s="502" t="s">
        <v>1309</v>
      </c>
      <c r="K915" s="502" t="s">
        <v>1308</v>
      </c>
      <c r="L915" s="901"/>
      <c r="M915" s="911"/>
      <c r="N915" s="912"/>
      <c r="O915" s="449"/>
    </row>
    <row r="916" spans="2:15" ht="14.25" hidden="1" customHeight="1" outlineLevel="1">
      <c r="B916" s="504" t="s">
        <v>724</v>
      </c>
      <c r="C916" s="15" t="str">
        <f>IFERROR(VLOOKUP(B916,MasterSheet!$B$6:$N$150,3,),"n/a")</f>
        <v>French Fries</v>
      </c>
      <c r="D916" s="499">
        <v>150</v>
      </c>
      <c r="E916" s="505" t="str">
        <f>IFERROR(VLOOKUP(B916,[4]MasterSheet!$B$6:$N$144,10,),"N/a")</f>
        <v>g</v>
      </c>
      <c r="F916" s="506">
        <f>IFERROR(VLOOKUP(B916,MasterSheet!$B$6:$N$150,11,),"N/a")</f>
        <v>46.666666666666664</v>
      </c>
      <c r="G916" s="488">
        <f>IFERROR(D916*F916,"_")</f>
        <v>7000</v>
      </c>
      <c r="H916" s="905">
        <f>SUM(G916:G919)</f>
        <v>8413.8240265151508</v>
      </c>
      <c r="I916" s="905">
        <f>SUM(G916:G918,G920)</f>
        <v>8615.8240265151508</v>
      </c>
      <c r="J916" s="491">
        <f>D916*$J$913</f>
        <v>1050</v>
      </c>
      <c r="K916" s="501">
        <f>D916*$K$913</f>
        <v>0</v>
      </c>
      <c r="L916" s="501">
        <f>SUM(J916:K916)</f>
        <v>1050</v>
      </c>
      <c r="M916" s="493"/>
      <c r="N916" s="507"/>
      <c r="O916" s="449"/>
    </row>
    <row r="917" spans="2:15" ht="14.25" hidden="1" customHeight="1" outlineLevel="1">
      <c r="B917" s="508" t="s">
        <v>999</v>
      </c>
      <c r="C917" s="15" t="str">
        <f>IFERROR(VLOOKUP(B917,MasterSheet!$B$6:$N$150,3,),"n/a")</f>
        <v>Palm Oil</v>
      </c>
      <c r="D917" s="499">
        <f>156*5%</f>
        <v>7.8000000000000007</v>
      </c>
      <c r="E917" s="505" t="str">
        <f>IFERROR(VLOOKUP(B917,[4]MasterSheet!$B$6:$N$144,10,),"N/a")</f>
        <v>g</v>
      </c>
      <c r="F917" s="506">
        <f>IFERROR(VLOOKUP(B917,MasterSheet!$B$6:$N$150,11,),"N/a")</f>
        <v>25.580404040404041</v>
      </c>
      <c r="G917" s="488">
        <f>IFERROR(D917*F917,"_")</f>
        <v>199.52715151515153</v>
      </c>
      <c r="H917" s="905"/>
      <c r="I917" s="905"/>
      <c r="J917" s="491">
        <f t="shared" ref="J917:J919" si="212">D917*$J$913</f>
        <v>54.600000000000009</v>
      </c>
      <c r="K917" s="501">
        <f t="shared" ref="K917:K919" si="213">D917*$K$913</f>
        <v>0</v>
      </c>
      <c r="L917" s="501">
        <f>SUM(J917:K917)</f>
        <v>54.600000000000009</v>
      </c>
      <c r="M917" s="493"/>
      <c r="N917" s="507"/>
      <c r="O917" s="449"/>
    </row>
    <row r="918" spans="2:15" ht="14.25" hidden="1" customHeight="1" outlineLevel="1">
      <c r="B918" s="508" t="s">
        <v>1804</v>
      </c>
      <c r="C918" s="15" t="str">
        <f>IFERROR(VLOOKUP(B918,MasterSheet!$B$6:$N$150,3,),"n/a")</f>
        <v>Hot Spicy Sauce</v>
      </c>
      <c r="D918" s="499">
        <v>5</v>
      </c>
      <c r="E918" s="505" t="str">
        <f>IFERROR(VLOOKUP(B918,[4]MasterSheet!$B$6:$N$144,10,),"N/a")</f>
        <v>g</v>
      </c>
      <c r="F918" s="506">
        <f>IFERROR(VLOOKUP(B918,MasterSheet!$B$6:$N$150,11,),"N/a")</f>
        <v>135.85937500000003</v>
      </c>
      <c r="G918" s="488">
        <f>IFERROR(D918*F918,"_")</f>
        <v>679.29687500000011</v>
      </c>
      <c r="H918" s="905"/>
      <c r="I918" s="905"/>
      <c r="J918" s="491">
        <f t="shared" si="212"/>
        <v>35</v>
      </c>
      <c r="K918" s="501">
        <f t="shared" si="213"/>
        <v>0</v>
      </c>
      <c r="L918" s="501"/>
      <c r="M918" s="493"/>
      <c r="N918" s="507"/>
      <c r="O918" s="449"/>
    </row>
    <row r="919" spans="2:15" ht="14.25" hidden="1" customHeight="1" outlineLevel="1">
      <c r="B919" s="508" t="s">
        <v>1798</v>
      </c>
      <c r="C919" s="15" t="str">
        <f>IFERROR(VLOOKUP(B919,MasterSheet!$B$6:$N$1007,3,),"n/a")</f>
        <v xml:space="preserve">BB.Q POTATO FRIES BOX (Dine-in) </v>
      </c>
      <c r="D919" s="499">
        <v>1</v>
      </c>
      <c r="E919" s="505" t="str">
        <f>IFERROR(VLOOKUP(B919,[4]MasterSheet!$B$6:$N$1001,10,),"N/a")</f>
        <v>ea</v>
      </c>
      <c r="F919" s="506">
        <f>IFERROR(VLOOKUP(B919,MasterSheet!$B$6:$N$1007,11,),"N/a")</f>
        <v>535</v>
      </c>
      <c r="G919" s="488">
        <f>IFERROR(D919*F919,"_")</f>
        <v>535</v>
      </c>
      <c r="H919" s="905"/>
      <c r="I919" s="905"/>
      <c r="J919" s="491">
        <f t="shared" si="212"/>
        <v>7</v>
      </c>
      <c r="K919" s="501">
        <f t="shared" si="213"/>
        <v>0</v>
      </c>
      <c r="L919" s="501">
        <f>SUM(J919:K919)</f>
        <v>7</v>
      </c>
      <c r="M919" s="493"/>
      <c r="N919" s="507"/>
      <c r="O919" s="449"/>
    </row>
    <row r="920" spans="2:15" ht="14.65" hidden="1" customHeight="1" outlineLevel="1" thickBot="1">
      <c r="B920" s="532" t="s">
        <v>1395</v>
      </c>
      <c r="C920" s="28" t="str">
        <f>IFERROR(VLOOKUP(B920,MasterSheet!$B$6:$N$521,3,),"n/a")</f>
        <v>BB.Q PAPER BAG FRIES (TakeAway)</v>
      </c>
      <c r="D920" s="533">
        <v>1</v>
      </c>
      <c r="E920" s="534" t="str">
        <f>IFERROR(VLOOKUP(B920,[4]MasterSheet!$B$6:$N$515,10,),"N/a")</f>
        <v>ea</v>
      </c>
      <c r="F920" s="535">
        <f>IFERROR(VLOOKUP(B920,MasterSheet!$B$6:$N$1007,11,),"N/a")</f>
        <v>737</v>
      </c>
      <c r="G920" s="536">
        <f>IFERROR(D920*F920,"_")</f>
        <v>737</v>
      </c>
      <c r="H920" s="906"/>
      <c r="I920" s="906"/>
      <c r="J920" s="528">
        <f>D920*$J$913</f>
        <v>7</v>
      </c>
      <c r="K920" s="529">
        <f>D920*$K$913</f>
        <v>0</v>
      </c>
      <c r="L920" s="529">
        <f>SUM(J920:K920)</f>
        <v>7</v>
      </c>
      <c r="M920" s="530"/>
      <c r="N920" s="531"/>
      <c r="O920" s="449"/>
    </row>
    <row r="921" spans="2:15" collapsed="1">
      <c r="B921" s="219" t="s">
        <v>1868</v>
      </c>
      <c r="C921" s="15" t="s">
        <v>1870</v>
      </c>
      <c r="D921" s="184">
        <f>E921*(1+$E$8)</f>
        <v>11000</v>
      </c>
      <c r="E921" s="184">
        <v>10000</v>
      </c>
      <c r="F921" s="174">
        <f>H924</f>
        <v>941.45</v>
      </c>
      <c r="G921" s="489">
        <f>I924</f>
        <v>941.45</v>
      </c>
      <c r="H921" s="500">
        <f>F921/E921</f>
        <v>9.4145000000000006E-2</v>
      </c>
      <c r="I921" s="500">
        <f>G921/E921</f>
        <v>9.4145000000000006E-2</v>
      </c>
      <c r="J921" s="492">
        <f>VLOOKUP(B921,'SALES MIX'!B14:J104,4)</f>
        <v>398</v>
      </c>
      <c r="K921" s="477">
        <f>VLOOKUP(B921,'SALES MIX'!B14:J104,5)</f>
        <v>92</v>
      </c>
      <c r="L921" s="221">
        <f>((F921*J921)+(G921*K921))/((J921+K921)*E921)</f>
        <v>9.4145000000000006E-2</v>
      </c>
      <c r="M921" s="493"/>
      <c r="N921" s="493"/>
      <c r="O921" s="449"/>
    </row>
    <row r="922" spans="2:15" ht="14.65" hidden="1" customHeight="1" outlineLevel="1" thickTop="1">
      <c r="B922" s="923" t="s">
        <v>608</v>
      </c>
      <c r="C922" s="925" t="s">
        <v>1305</v>
      </c>
      <c r="D922" s="927" t="s">
        <v>1306</v>
      </c>
      <c r="E922" s="927" t="s">
        <v>60</v>
      </c>
      <c r="F922" s="927" t="s">
        <v>615</v>
      </c>
      <c r="G922" s="927" t="s">
        <v>755</v>
      </c>
      <c r="H922" s="929" t="s">
        <v>1312</v>
      </c>
      <c r="I922" s="929"/>
      <c r="J922" s="929" t="s">
        <v>1319</v>
      </c>
      <c r="K922" s="929"/>
      <c r="L922" s="930" t="s">
        <v>1313</v>
      </c>
      <c r="M922" s="736"/>
      <c r="N922" s="737"/>
      <c r="O922" s="449"/>
    </row>
    <row r="923" spans="2:15" ht="14.25" hidden="1" customHeight="1" outlineLevel="1">
      <c r="B923" s="924"/>
      <c r="C923" s="926"/>
      <c r="D923" s="928"/>
      <c r="E923" s="928"/>
      <c r="F923" s="928"/>
      <c r="G923" s="928"/>
      <c r="H923" s="751" t="s">
        <v>1309</v>
      </c>
      <c r="I923" s="751" t="s">
        <v>1308</v>
      </c>
      <c r="J923" s="751" t="s">
        <v>1309</v>
      </c>
      <c r="K923" s="751" t="s">
        <v>1308</v>
      </c>
      <c r="L923" s="931"/>
      <c r="M923" s="493"/>
      <c r="N923" s="738"/>
      <c r="O923" s="449"/>
    </row>
    <row r="924" spans="2:15" ht="14.25" hidden="1" customHeight="1" outlineLevel="1">
      <c r="B924" s="752" t="s">
        <v>1090</v>
      </c>
      <c r="C924" s="15" t="str">
        <f>VLOOKUP(B924,CK!$B$8:$L$87,4,)</f>
        <v>Steamed Rice</v>
      </c>
      <c r="D924" s="510">
        <v>150</v>
      </c>
      <c r="E924" s="505" t="str">
        <f>VLOOKUP(B924,[4]CK!$B$8:$L$87,9,)</f>
        <v>g</v>
      </c>
      <c r="F924" s="506">
        <f>VLOOKUP(B924,CK!$B$8:$L$87,10,)</f>
        <v>4.833333333333333</v>
      </c>
      <c r="G924" s="488">
        <f t="shared" ref="G924:G925" si="214">IFERROR(D924*F924,"_")</f>
        <v>725</v>
      </c>
      <c r="H924" s="905">
        <f>SUM(G924:G925)</f>
        <v>941.45</v>
      </c>
      <c r="I924" s="905">
        <f>SUM(G924:G925)</f>
        <v>941.45</v>
      </c>
      <c r="J924" s="491">
        <f>D924*$J$921</f>
        <v>59700</v>
      </c>
      <c r="K924" s="501">
        <f>D924*$K$921</f>
        <v>13800</v>
      </c>
      <c r="L924" s="501">
        <f>SUM(J924:K924)</f>
        <v>73500</v>
      </c>
      <c r="M924" s="493"/>
      <c r="N924" s="738"/>
      <c r="O924" s="449"/>
    </row>
    <row r="925" spans="2:15" ht="14.65" hidden="1" customHeight="1" outlineLevel="1" thickBot="1">
      <c r="B925" s="753" t="s">
        <v>1150</v>
      </c>
      <c r="C925" s="28" t="str">
        <f>IFERROR(VLOOKUP(B925,MasterSheet!$B$6:$N$521,3,),"n/a")</f>
        <v>PARCHMENT PAPER / WRAPPING RICE</v>
      </c>
      <c r="D925" s="533">
        <v>1</v>
      </c>
      <c r="E925" s="534" t="str">
        <f>IFERROR(VLOOKUP(B925,[4]MasterSheet!$B$6:$N$515,10,),"N/a")</f>
        <v>ea</v>
      </c>
      <c r="F925" s="535">
        <f>IFERROR(VLOOKUP(B925,MasterSheet!$B$6:$N$521,11,),"N/a")</f>
        <v>216.45</v>
      </c>
      <c r="G925" s="536">
        <f t="shared" si="214"/>
        <v>216.45</v>
      </c>
      <c r="H925" s="906"/>
      <c r="I925" s="906"/>
      <c r="J925" s="528">
        <f>D925*$J$921</f>
        <v>398</v>
      </c>
      <c r="K925" s="529">
        <f>D925*$K$921</f>
        <v>92</v>
      </c>
      <c r="L925" s="529">
        <f>SUM(J925:K925)</f>
        <v>490</v>
      </c>
      <c r="M925" s="530"/>
      <c r="N925" s="739"/>
      <c r="O925" s="449"/>
    </row>
    <row r="926" spans="2:15" collapsed="1">
      <c r="B926" s="219" t="s">
        <v>1872</v>
      </c>
      <c r="C926" s="15" t="s">
        <v>1874</v>
      </c>
      <c r="D926" s="184">
        <f>E926*(1+$E$8)</f>
        <v>33000</v>
      </c>
      <c r="E926" s="184">
        <v>30000</v>
      </c>
      <c r="F926" s="174">
        <f>H929</f>
        <v>8925.8368106287671</v>
      </c>
      <c r="G926" s="489">
        <f>I929</f>
        <v>8925.8368106287671</v>
      </c>
      <c r="H926" s="500">
        <f>F926/E926</f>
        <v>0.29752789368762556</v>
      </c>
      <c r="I926" s="500">
        <f>G926/E926</f>
        <v>0.29752789368762556</v>
      </c>
      <c r="J926" s="492">
        <f>VLOOKUP(B926,'SALES MIX'!B14:J104,4)</f>
        <v>42</v>
      </c>
      <c r="K926" s="477">
        <f>VLOOKUP(B926,'SALES MIX'!B14:J104,5)</f>
        <v>10</v>
      </c>
      <c r="L926" s="221">
        <f>((F926*J926)+(G926*K926))/((J926+K926)*E926)</f>
        <v>0.29752789368762556</v>
      </c>
      <c r="M926" s="493"/>
      <c r="N926" s="493"/>
      <c r="O926" s="449"/>
    </row>
    <row r="927" spans="2:15" ht="14.65" hidden="1" customHeight="1" outlineLevel="1" thickTop="1">
      <c r="B927" s="913" t="s">
        <v>608</v>
      </c>
      <c r="C927" s="914" t="s">
        <v>1305</v>
      </c>
      <c r="D927" s="915" t="s">
        <v>1306</v>
      </c>
      <c r="E927" s="915" t="s">
        <v>60</v>
      </c>
      <c r="F927" s="915" t="s">
        <v>615</v>
      </c>
      <c r="G927" s="915" t="s">
        <v>755</v>
      </c>
      <c r="H927" s="907" t="s">
        <v>1312</v>
      </c>
      <c r="I927" s="907"/>
      <c r="J927" s="907" t="s">
        <v>1319</v>
      </c>
      <c r="K927" s="907"/>
      <c r="L927" s="908" t="s">
        <v>1313</v>
      </c>
      <c r="M927" s="907" t="s">
        <v>912</v>
      </c>
      <c r="N927" s="917"/>
      <c r="O927" s="449"/>
    </row>
    <row r="928" spans="2:15" ht="14.65" hidden="1" customHeight="1" outlineLevel="1" thickBot="1">
      <c r="B928" s="894"/>
      <c r="C928" s="896"/>
      <c r="D928" s="898"/>
      <c r="E928" s="898"/>
      <c r="F928" s="898"/>
      <c r="G928" s="898"/>
      <c r="H928" s="502" t="s">
        <v>1309</v>
      </c>
      <c r="I928" s="502" t="s">
        <v>1308</v>
      </c>
      <c r="J928" s="502" t="s">
        <v>1309</v>
      </c>
      <c r="K928" s="502" t="s">
        <v>1308</v>
      </c>
      <c r="L928" s="901"/>
      <c r="M928" s="903"/>
      <c r="N928" s="904"/>
      <c r="O928" s="449"/>
    </row>
    <row r="929" spans="2:15" ht="14.25" hidden="1" customHeight="1" outlineLevel="1">
      <c r="B929" s="504" t="s">
        <v>1875</v>
      </c>
      <c r="C929" s="15" t="str">
        <f>IFERROR(VLOOKUP(B929,MasterSheet!$B$6:$N$150,3,),"n/a")</f>
        <v>Glass Noodle</v>
      </c>
      <c r="D929" s="499">
        <v>180</v>
      </c>
      <c r="E929" s="505" t="str">
        <f>IFERROR(VLOOKUP(B929,[4]MasterSheet!$B$6:$N$144,10,),"N/a")</f>
        <v>g</v>
      </c>
      <c r="F929" s="506">
        <f>IFERROR(VLOOKUP(B929,MasterSheet!$B$6:$N$150,11,),"N/a")</f>
        <v>19.285700000000002</v>
      </c>
      <c r="G929" s="488">
        <f>IFERROR(D929*F929,"_")</f>
        <v>3471.4260000000004</v>
      </c>
      <c r="H929" s="905">
        <f>SUM(G929:G937)</f>
        <v>8925.8368106287671</v>
      </c>
      <c r="I929" s="905">
        <f>SUM(G929:G937)</f>
        <v>8925.8368106287671</v>
      </c>
      <c r="J929" s="491">
        <f>D929*$J$926</f>
        <v>7560</v>
      </c>
      <c r="K929" s="501">
        <f>D929*$K$926</f>
        <v>1800</v>
      </c>
      <c r="L929" s="501">
        <f>SUM(J929:K929)</f>
        <v>9360</v>
      </c>
      <c r="M929" s="493"/>
      <c r="N929" s="507"/>
      <c r="O929" s="449"/>
    </row>
    <row r="930" spans="2:15" ht="14.25" hidden="1" customHeight="1" outlineLevel="1">
      <c r="B930" s="508" t="s">
        <v>1876</v>
      </c>
      <c r="C930" s="15" t="str">
        <f>IFERROR(VLOOKUP(B930,MasterSheet!$B$6:$N$150,3,),"n/a")</f>
        <v>White Onion</v>
      </c>
      <c r="D930" s="499">
        <v>2</v>
      </c>
      <c r="E930" s="505" t="str">
        <f>IFERROR(VLOOKUP(B930,[4]MasterSheet!$B$6:$N$144,10,),"N/a")</f>
        <v>g</v>
      </c>
      <c r="F930" s="506">
        <f>IFERROR(VLOOKUP(B930,MasterSheet!$B$6:$N$150,11,),"N/a")</f>
        <v>32.010309278350519</v>
      </c>
      <c r="G930" s="488">
        <f t="shared" ref="G930:G937" si="215">IFERROR(D930*F930,"_")</f>
        <v>64.020618556701038</v>
      </c>
      <c r="H930" s="905"/>
      <c r="I930" s="905"/>
      <c r="J930" s="491">
        <f t="shared" ref="J930:J936" si="216">D930*$J$926</f>
        <v>84</v>
      </c>
      <c r="K930" s="501">
        <f t="shared" ref="K930:K936" si="217">D930*$K$926</f>
        <v>20</v>
      </c>
      <c r="L930" s="501">
        <f t="shared" ref="L930:L937" si="218">SUM(J930:K930)</f>
        <v>104</v>
      </c>
      <c r="M930" s="493"/>
      <c r="N930" s="507"/>
      <c r="O930" s="449"/>
    </row>
    <row r="931" spans="2:15" ht="14.25" hidden="1" customHeight="1" outlineLevel="1">
      <c r="B931" s="508" t="s">
        <v>1877</v>
      </c>
      <c r="C931" s="15" t="str">
        <f>IFERROR(VLOOKUP(B931,MasterSheet!$B$6:$N$150,3,),"n/a")</f>
        <v>Carrot</v>
      </c>
      <c r="D931" s="499">
        <v>2</v>
      </c>
      <c r="E931" s="505" t="str">
        <f>IFERROR(VLOOKUP(B931,[4]MasterSheet!$B$6:$N$144,10,),"N/a")</f>
        <v>g</v>
      </c>
      <c r="F931" s="506">
        <f>IFERROR(VLOOKUP(B931,MasterSheet!$B$6:$N$150,11,),"N/a")</f>
        <v>21.610526315789475</v>
      </c>
      <c r="G931" s="488">
        <f t="shared" si="215"/>
        <v>43.221052631578949</v>
      </c>
      <c r="H931" s="905"/>
      <c r="I931" s="905"/>
      <c r="J931" s="491">
        <f t="shared" si="216"/>
        <v>84</v>
      </c>
      <c r="K931" s="501">
        <f t="shared" si="217"/>
        <v>20</v>
      </c>
      <c r="L931" s="501">
        <f t="shared" si="218"/>
        <v>104</v>
      </c>
      <c r="M931" s="493"/>
      <c r="N931" s="507"/>
      <c r="O931" s="449"/>
    </row>
    <row r="932" spans="2:15" ht="14.25" hidden="1" customHeight="1" outlineLevel="1">
      <c r="B932" s="508" t="s">
        <v>1878</v>
      </c>
      <c r="C932" s="15" t="str">
        <f>IFERROR(VLOOKUP(B932,MasterSheet!$B$6:$N$150,3,),"n/a")</f>
        <v>Ear Mushroom</v>
      </c>
      <c r="D932" s="499">
        <v>3</v>
      </c>
      <c r="E932" s="505" t="str">
        <f>IFERROR(VLOOKUP(B932,[4]MasterSheet!$B$6:$N$144,10,),"N/a")</f>
        <v>g</v>
      </c>
      <c r="F932" s="506">
        <f>IFERROR(VLOOKUP(B932,MasterSheet!$B$6:$N$150,11,),"N/a")</f>
        <v>110.55789473684212</v>
      </c>
      <c r="G932" s="488">
        <f t="shared" si="215"/>
        <v>331.67368421052635</v>
      </c>
      <c r="H932" s="905"/>
      <c r="I932" s="905"/>
      <c r="J932" s="491">
        <f t="shared" si="216"/>
        <v>126</v>
      </c>
      <c r="K932" s="501">
        <f t="shared" si="217"/>
        <v>30</v>
      </c>
      <c r="L932" s="501">
        <f t="shared" si="218"/>
        <v>156</v>
      </c>
      <c r="M932" s="493"/>
      <c r="N932" s="507"/>
      <c r="O932" s="449"/>
    </row>
    <row r="933" spans="2:15" ht="14.25" hidden="1" customHeight="1" outlineLevel="1">
      <c r="B933" s="508" t="s">
        <v>1879</v>
      </c>
      <c r="C933" s="15" t="str">
        <f>IFERROR(VLOOKUP(B933,MasterSheet!$B$6:$N$150,3,),"n/a")</f>
        <v>Scallion(Green Onion)</v>
      </c>
      <c r="D933" s="499">
        <v>3</v>
      </c>
      <c r="E933" s="505" t="str">
        <f>IFERROR(VLOOKUP(B933,[4]MasterSheet!$B$6:$N$144,10,),"N/a")</f>
        <v>g</v>
      </c>
      <c r="F933" s="506">
        <f>IFERROR(VLOOKUP(B933,MasterSheet!$B$6:$N$150,11,),"N/a")</f>
        <v>27.705263157894738</v>
      </c>
      <c r="G933" s="488">
        <f t="shared" si="215"/>
        <v>83.115789473684217</v>
      </c>
      <c r="H933" s="905"/>
      <c r="I933" s="905"/>
      <c r="J933" s="491">
        <f t="shared" si="216"/>
        <v>126</v>
      </c>
      <c r="K933" s="501">
        <f t="shared" si="217"/>
        <v>30</v>
      </c>
      <c r="L933" s="501">
        <f t="shared" si="218"/>
        <v>156</v>
      </c>
      <c r="M933" s="493"/>
      <c r="N933" s="507"/>
      <c r="O933" s="449"/>
    </row>
    <row r="934" spans="2:15" ht="14.25" hidden="1" customHeight="1" outlineLevel="1">
      <c r="B934" s="508" t="s">
        <v>1880</v>
      </c>
      <c r="C934" s="15" t="str">
        <f>IFERROR(VLOOKUP(B934,MasterSheet!$B$6:$N$150,3,),"n/a")</f>
        <v>Sesame Seeds</v>
      </c>
      <c r="D934" s="499">
        <v>1</v>
      </c>
      <c r="E934" s="505" t="str">
        <f>IFERROR(VLOOKUP(B934,[4]MasterSheet!$B$6:$N$144,10,),"N/a")</f>
        <v>g</v>
      </c>
      <c r="F934" s="506">
        <f>IFERROR(VLOOKUP(B934,MasterSheet!$B$6:$N$150,11,),"N/a")</f>
        <v>77.363636363636374</v>
      </c>
      <c r="G934" s="488">
        <f t="shared" si="215"/>
        <v>77.363636363636374</v>
      </c>
      <c r="H934" s="905"/>
      <c r="I934" s="905"/>
      <c r="J934" s="491">
        <f t="shared" si="216"/>
        <v>42</v>
      </c>
      <c r="K934" s="501">
        <f t="shared" si="217"/>
        <v>10</v>
      </c>
      <c r="L934" s="501">
        <f t="shared" si="218"/>
        <v>52</v>
      </c>
      <c r="M934" s="493"/>
      <c r="N934" s="507"/>
      <c r="O934" s="449"/>
    </row>
    <row r="935" spans="2:15" ht="14.25" hidden="1" customHeight="1" outlineLevel="1">
      <c r="B935" s="509" t="s">
        <v>1881</v>
      </c>
      <c r="C935" s="15" t="str">
        <f>VLOOKUP(B935,CK!$B$8:$L$87,4,)</f>
        <v>Japchae Sauce</v>
      </c>
      <c r="D935" s="510">
        <v>30</v>
      </c>
      <c r="E935" s="505" t="str">
        <f>VLOOKUP(B935,[4]CK!$B$8:$L$87,9,)</f>
        <v>g</v>
      </c>
      <c r="F935" s="506">
        <f>VLOOKUP(B935,CK!$B$8:$L$87,10,)</f>
        <v>108.76720097975463</v>
      </c>
      <c r="G935" s="488">
        <f t="shared" si="215"/>
        <v>3263.0160293926392</v>
      </c>
      <c r="H935" s="905"/>
      <c r="I935" s="905"/>
      <c r="J935" s="491">
        <f t="shared" si="216"/>
        <v>1260</v>
      </c>
      <c r="K935" s="501">
        <f t="shared" si="217"/>
        <v>300</v>
      </c>
      <c r="L935" s="501">
        <f t="shared" si="218"/>
        <v>1560</v>
      </c>
      <c r="M935" s="493"/>
      <c r="N935" s="507"/>
      <c r="O935" s="449"/>
    </row>
    <row r="936" spans="2:15" ht="14.25" hidden="1" customHeight="1" outlineLevel="1">
      <c r="B936" s="523" t="s">
        <v>1072</v>
      </c>
      <c r="C936" s="15" t="str">
        <f>IFERROR(VLOOKUP(B936,MasterSheet!$B$6:$N$521,3,),"n/a")</f>
        <v>PAPERBOWL CUPBAP #720</v>
      </c>
      <c r="D936" s="510">
        <v>1</v>
      </c>
      <c r="E936" s="505" t="str">
        <f>IFERROR(VLOOKUP(B936,[4]MasterSheet!$B$6:$N$515,10,),"N/a")</f>
        <v>ea</v>
      </c>
      <c r="F936" s="506">
        <f>IFERROR(VLOOKUP(B936,MasterSheet!$B$6:$N$521,11,),"N/a")</f>
        <v>1164</v>
      </c>
      <c r="G936" s="488">
        <f t="shared" si="215"/>
        <v>1164</v>
      </c>
      <c r="H936" s="905"/>
      <c r="I936" s="905"/>
      <c r="J936" s="491">
        <f t="shared" si="216"/>
        <v>42</v>
      </c>
      <c r="K936" s="501">
        <f t="shared" si="217"/>
        <v>10</v>
      </c>
      <c r="L936" s="501">
        <f t="shared" si="218"/>
        <v>52</v>
      </c>
      <c r="M936" s="493"/>
      <c r="N936" s="507"/>
      <c r="O936" s="449"/>
    </row>
    <row r="937" spans="2:15" ht="14.65" hidden="1" customHeight="1" outlineLevel="1" thickBot="1">
      <c r="B937" s="524" t="s">
        <v>1176</v>
      </c>
      <c r="C937" s="512" t="str">
        <f>IFERROR(VLOOKUP(B937,MasterSheet!$B$6:$N$421,3,),"n/a")</f>
        <v>PAPERBOWL CUPBAP #720 LID</v>
      </c>
      <c r="D937" s="513">
        <v>1</v>
      </c>
      <c r="E937" s="514" t="str">
        <f>IFERROR(VLOOKUP(B937,[4]MasterSheet!B720:N1311,10,),"N/a")</f>
        <v>N/a</v>
      </c>
      <c r="F937" s="515">
        <f>IFERROR(VLOOKUP(B937,MasterSheet!$B$6:$N$421,11,),"N/a")</f>
        <v>428</v>
      </c>
      <c r="G937" s="516">
        <f t="shared" si="215"/>
        <v>428</v>
      </c>
      <c r="H937" s="916"/>
      <c r="I937" s="916"/>
      <c r="J937" s="517">
        <f>D937*$J$926</f>
        <v>42</v>
      </c>
      <c r="K937" s="518">
        <f>D937*$K$926</f>
        <v>10</v>
      </c>
      <c r="L937" s="518">
        <f t="shared" si="218"/>
        <v>52</v>
      </c>
      <c r="M937" s="519"/>
      <c r="N937" s="520"/>
      <c r="O937" s="449"/>
    </row>
    <row r="938" spans="2:15" ht="14.65" collapsed="1" thickBot="1">
      <c r="B938" s="219" t="s">
        <v>1942</v>
      </c>
      <c r="C938" s="15" t="s">
        <v>1884</v>
      </c>
      <c r="D938" s="184">
        <f>E938*(1+$E$8)</f>
        <v>17600</v>
      </c>
      <c r="E938" s="184">
        <v>16000</v>
      </c>
      <c r="F938" s="174">
        <f>H941</f>
        <v>4497.4747474747473</v>
      </c>
      <c r="G938" s="489">
        <f>I941</f>
        <v>4697.4747474747473</v>
      </c>
      <c r="H938" s="500">
        <f>F938/E938</f>
        <v>0.28109217171717171</v>
      </c>
      <c r="I938" s="500">
        <f>G938/E938</f>
        <v>0.29359217171717172</v>
      </c>
      <c r="J938" s="492" t="e">
        <f>VLOOKUP(B938,'SALES MIX'!$B$82:$J$103,4)</f>
        <v>#N/A</v>
      </c>
      <c r="K938" s="477" t="e">
        <f>VLOOKUP(B938,'SALES MIX'!$B$82:$J$103,5)</f>
        <v>#N/A</v>
      </c>
      <c r="L938" s="221" t="e">
        <f>((F938*J938)+(G938*K938))/((J938+K938)*E938)</f>
        <v>#N/A</v>
      </c>
      <c r="M938" s="493"/>
      <c r="N938" s="493"/>
      <c r="O938" s="449"/>
    </row>
    <row r="939" spans="2:15" ht="14.65" customHeight="1" outlineLevel="1" thickTop="1">
      <c r="B939" s="923" t="s">
        <v>608</v>
      </c>
      <c r="C939" s="925" t="s">
        <v>1305</v>
      </c>
      <c r="D939" s="927" t="s">
        <v>1306</v>
      </c>
      <c r="E939" s="927" t="s">
        <v>60</v>
      </c>
      <c r="F939" s="927" t="s">
        <v>615</v>
      </c>
      <c r="G939" s="927" t="s">
        <v>755</v>
      </c>
      <c r="H939" s="929" t="s">
        <v>1312</v>
      </c>
      <c r="I939" s="929"/>
      <c r="J939" s="929" t="s">
        <v>1319</v>
      </c>
      <c r="K939" s="929"/>
      <c r="L939" s="930" t="s">
        <v>1313</v>
      </c>
      <c r="M939" s="929" t="s">
        <v>912</v>
      </c>
      <c r="N939" s="933"/>
      <c r="O939" s="449"/>
    </row>
    <row r="940" spans="2:15" ht="14.65" customHeight="1" outlineLevel="1" thickBot="1">
      <c r="B940" s="932"/>
      <c r="C940" s="896"/>
      <c r="D940" s="898"/>
      <c r="E940" s="898"/>
      <c r="F940" s="898"/>
      <c r="G940" s="898"/>
      <c r="H940" s="502" t="s">
        <v>1309</v>
      </c>
      <c r="I940" s="502" t="s">
        <v>1308</v>
      </c>
      <c r="J940" s="502" t="s">
        <v>1309</v>
      </c>
      <c r="K940" s="502" t="s">
        <v>1308</v>
      </c>
      <c r="L940" s="901"/>
      <c r="M940" s="903"/>
      <c r="N940" s="934"/>
      <c r="O940" s="449"/>
    </row>
    <row r="941" spans="2:15" ht="14.25" customHeight="1" outlineLevel="1">
      <c r="B941" s="754" t="s">
        <v>1882</v>
      </c>
      <c r="C941" s="15" t="str">
        <f>IFERROR(VLOOKUP(B941,MasterSheet!$B$6:$N$150,3,),"n/a")</f>
        <v>Soft Drink Base</v>
      </c>
      <c r="D941" s="499">
        <v>53</v>
      </c>
      <c r="E941" s="505" t="str">
        <f>IFERROR(VLOOKUP(B941,[4]MasterSheet!$B$6:$N$144,10,),"N/a")</f>
        <v>g</v>
      </c>
      <c r="F941" s="506">
        <f>IFERROR(VLOOKUP(B941,MasterSheet!$B$6:$N$150,11,),"N/a")</f>
        <v>70.707070707070713</v>
      </c>
      <c r="G941" s="488">
        <f>IFERROR(D941*F941,"_")</f>
        <v>3747.4747474747478</v>
      </c>
      <c r="H941" s="905">
        <f>SUM(G941:G942)</f>
        <v>4497.4747474747473</v>
      </c>
      <c r="I941" s="905">
        <f>SUM(G941:G943)</f>
        <v>4697.4747474747473</v>
      </c>
      <c r="J941" s="491" t="e">
        <f>D941*$J$938</f>
        <v>#N/A</v>
      </c>
      <c r="K941" s="501" t="e">
        <f>D941*$K$938</f>
        <v>#N/A</v>
      </c>
      <c r="L941" s="501" t="e">
        <f>SUM(J941:K941)</f>
        <v>#N/A</v>
      </c>
      <c r="M941" s="493"/>
      <c r="N941" s="738"/>
      <c r="O941" s="449"/>
    </row>
    <row r="942" spans="2:15" ht="14.25" customHeight="1" outlineLevel="1">
      <c r="B942" s="755" t="s">
        <v>1365</v>
      </c>
      <c r="C942" s="15" t="str">
        <f>IFERROR(VLOOKUP(B942,MasterSheet!$B$6:$N$521,3,),"n/a")</f>
        <v>Drink Package(16oz)</v>
      </c>
      <c r="D942" s="510">
        <v>1</v>
      </c>
      <c r="E942" s="505" t="str">
        <f>IFERROR(VLOOKUP(B942,[4]MasterSheet!$B$6:$N$515,10,),"N/a")</f>
        <v>ea</v>
      </c>
      <c r="F942" s="506">
        <f>IFERROR(VLOOKUP(B942,MasterSheet!$B$6:$N$521,11,),"N/a")</f>
        <v>750</v>
      </c>
      <c r="G942" s="488">
        <f t="shared" ref="G942:G943" si="219">IFERROR(D942*F942,"_")</f>
        <v>750</v>
      </c>
      <c r="H942" s="905"/>
      <c r="I942" s="905"/>
      <c r="J942" s="491" t="e">
        <f t="shared" ref="J942:J943" si="220">D942*$J$938</f>
        <v>#N/A</v>
      </c>
      <c r="K942" s="501" t="e">
        <f t="shared" ref="K942:K943" si="221">D942*$K$938</f>
        <v>#N/A</v>
      </c>
      <c r="L942" s="501" t="e">
        <f t="shared" ref="L942:L943" si="222">SUM(J942:K942)</f>
        <v>#N/A</v>
      </c>
      <c r="M942" s="493"/>
      <c r="N942" s="738"/>
      <c r="O942" s="449"/>
    </row>
    <row r="943" spans="2:15" ht="14.65" customHeight="1" outlineLevel="1" thickBot="1">
      <c r="B943" s="753" t="s">
        <v>1669</v>
      </c>
      <c r="C943" s="28" t="str">
        <f>IFERROR(VLOOKUP(B943,MasterSheet!$B$6:$N$421,3,),"n/a")</f>
        <v>Drink Package lid</v>
      </c>
      <c r="D943" s="533">
        <v>1</v>
      </c>
      <c r="E943" s="534" t="str">
        <f>IFERROR(VLOOKUP(B943,[4]MasterSheet!B732:N1323,10,),"N/a")</f>
        <v>N/a</v>
      </c>
      <c r="F943" s="535">
        <f>IFERROR(VLOOKUP(B943,MasterSheet!$B$6:$N$421,11,),"N/a")</f>
        <v>200</v>
      </c>
      <c r="G943" s="536">
        <f t="shared" si="219"/>
        <v>200</v>
      </c>
      <c r="H943" s="906"/>
      <c r="I943" s="906"/>
      <c r="J943" s="528" t="e">
        <f t="shared" si="220"/>
        <v>#N/A</v>
      </c>
      <c r="K943" s="529" t="e">
        <f t="shared" si="221"/>
        <v>#N/A</v>
      </c>
      <c r="L943" s="529" t="e">
        <f t="shared" si="222"/>
        <v>#N/A</v>
      </c>
      <c r="M943" s="530"/>
      <c r="N943" s="739"/>
      <c r="O943" s="449"/>
    </row>
    <row r="944" spans="2:15" ht="15" thickTop="1" thickBot="1">
      <c r="B944" s="219" t="s">
        <v>1943</v>
      </c>
      <c r="C944" s="15" t="s">
        <v>1886</v>
      </c>
      <c r="D944" s="184">
        <f>E944*(1+$E$8)</f>
        <v>17600</v>
      </c>
      <c r="E944" s="184">
        <v>16000</v>
      </c>
      <c r="F944" s="174">
        <f>H947</f>
        <v>5628.787878787879</v>
      </c>
      <c r="G944" s="489">
        <f>I947</f>
        <v>5828.787878787879</v>
      </c>
      <c r="H944" s="500">
        <f>F944/E944</f>
        <v>0.35179924242424243</v>
      </c>
      <c r="I944" s="500">
        <f>G944/E944</f>
        <v>0.36429924242424244</v>
      </c>
      <c r="J944" s="492" t="e">
        <f>VLOOKUP(B944,'SALES MIX'!$B$82:$J$103,4)</f>
        <v>#N/A</v>
      </c>
      <c r="K944" s="477" t="e">
        <f>VLOOKUP(B944,'SALES MIX'!$B$82:$J$103,5)</f>
        <v>#N/A</v>
      </c>
      <c r="L944" s="221" t="e">
        <f>((F944*J944)+(G944*K944))/((J944+K944)*E944)</f>
        <v>#N/A</v>
      </c>
      <c r="M944" s="493"/>
      <c r="N944" s="493"/>
    </row>
    <row r="945" spans="2:14" ht="14.65" customHeight="1" outlineLevel="1" thickTop="1">
      <c r="B945" s="923" t="s">
        <v>608</v>
      </c>
      <c r="C945" s="925" t="s">
        <v>1305</v>
      </c>
      <c r="D945" s="927" t="s">
        <v>1306</v>
      </c>
      <c r="E945" s="927" t="s">
        <v>60</v>
      </c>
      <c r="F945" s="927" t="s">
        <v>615</v>
      </c>
      <c r="G945" s="927" t="s">
        <v>755</v>
      </c>
      <c r="H945" s="929" t="s">
        <v>1312</v>
      </c>
      <c r="I945" s="929"/>
      <c r="J945" s="929" t="s">
        <v>1319</v>
      </c>
      <c r="K945" s="929"/>
      <c r="L945" s="930" t="s">
        <v>1313</v>
      </c>
      <c r="M945" s="929" t="s">
        <v>912</v>
      </c>
      <c r="N945" s="933"/>
    </row>
    <row r="946" spans="2:14" ht="14.65" customHeight="1" outlineLevel="1" thickBot="1">
      <c r="B946" s="932"/>
      <c r="C946" s="896"/>
      <c r="D946" s="898"/>
      <c r="E946" s="898"/>
      <c r="F946" s="898"/>
      <c r="G946" s="898"/>
      <c r="H946" s="502" t="s">
        <v>1309</v>
      </c>
      <c r="I946" s="502" t="s">
        <v>1308</v>
      </c>
      <c r="J946" s="502" t="s">
        <v>1309</v>
      </c>
      <c r="K946" s="502" t="s">
        <v>1308</v>
      </c>
      <c r="L946" s="901"/>
      <c r="M946" s="903"/>
      <c r="N946" s="934"/>
    </row>
    <row r="947" spans="2:14" ht="14.25" customHeight="1" outlineLevel="1">
      <c r="B947" s="754" t="s">
        <v>1882</v>
      </c>
      <c r="C947" s="15" t="str">
        <f>IFERROR(VLOOKUP(B947,MasterSheet!$B$6:$N$150,3,),"n/a")</f>
        <v>Soft Drink Base</v>
      </c>
      <c r="D947" s="499">
        <v>69</v>
      </c>
      <c r="E947" s="505" t="str">
        <f>IFERROR(VLOOKUP(B947,[4]MasterSheet!$B$6:$N$144,10,),"N/a")</f>
        <v>g</v>
      </c>
      <c r="F947" s="506">
        <f>IFERROR(VLOOKUP(B947,MasterSheet!$B$6:$N$150,11,),"N/a")</f>
        <v>70.707070707070713</v>
      </c>
      <c r="G947" s="488">
        <f>IFERROR(D947*F947,"_")</f>
        <v>4878.787878787879</v>
      </c>
      <c r="H947" s="905">
        <f>SUM(G947:G948)</f>
        <v>5628.787878787879</v>
      </c>
      <c r="I947" s="905">
        <f>SUM(G947:G949)</f>
        <v>5828.787878787879</v>
      </c>
      <c r="J947" s="491" t="e">
        <f>D947*$J$944</f>
        <v>#N/A</v>
      </c>
      <c r="K947" s="501" t="e">
        <f>D947*$K$944</f>
        <v>#N/A</v>
      </c>
      <c r="L947" s="501" t="e">
        <f>SUM(J947:K947)</f>
        <v>#N/A</v>
      </c>
      <c r="M947" s="493"/>
      <c r="N947" s="738"/>
    </row>
    <row r="948" spans="2:14" ht="14.25" customHeight="1" outlineLevel="1">
      <c r="B948" s="755" t="s">
        <v>1365</v>
      </c>
      <c r="C948" s="15" t="str">
        <f>IFERROR(VLOOKUP(B948,MasterSheet!$B$6:$N$521,3,),"n/a")</f>
        <v>Drink Package(16oz)</v>
      </c>
      <c r="D948" s="510">
        <v>1</v>
      </c>
      <c r="E948" s="505" t="str">
        <f>IFERROR(VLOOKUP(B948,[4]MasterSheet!$B$6:$N$515,10,),"N/a")</f>
        <v>ea</v>
      </c>
      <c r="F948" s="506">
        <f>IFERROR(VLOOKUP(B948,MasterSheet!$B$6:$N$521,11,),"N/a")</f>
        <v>750</v>
      </c>
      <c r="G948" s="488">
        <f t="shared" ref="G948:G949" si="223">IFERROR(D948*F948,"_")</f>
        <v>750</v>
      </c>
      <c r="H948" s="905"/>
      <c r="I948" s="905"/>
      <c r="J948" s="491" t="e">
        <f t="shared" ref="J948:J949" si="224">D948*$J$944</f>
        <v>#N/A</v>
      </c>
      <c r="K948" s="501" t="e">
        <f t="shared" ref="K948:K949" si="225">D948*$K$944</f>
        <v>#N/A</v>
      </c>
      <c r="L948" s="501" t="e">
        <f t="shared" ref="L948:L949" si="226">SUM(J948:K948)</f>
        <v>#N/A</v>
      </c>
      <c r="M948" s="493"/>
      <c r="N948" s="738"/>
    </row>
    <row r="949" spans="2:14" ht="14.65" customHeight="1" outlineLevel="1" thickBot="1">
      <c r="B949" s="753" t="s">
        <v>1669</v>
      </c>
      <c r="C949" s="28" t="str">
        <f>IFERROR(VLOOKUP(B949,MasterSheet!$B$6:$N$421,3,),"n/a")</f>
        <v>Drink Package lid</v>
      </c>
      <c r="D949" s="533">
        <v>1</v>
      </c>
      <c r="E949" s="534" t="str">
        <f>IFERROR(VLOOKUP(B949,[4]MasterSheet!B738:N1329,10,),"N/a")</f>
        <v>N/a</v>
      </c>
      <c r="F949" s="535">
        <f>IFERROR(VLOOKUP(B949,MasterSheet!$B$6:$N$421,11,),"N/a")</f>
        <v>200</v>
      </c>
      <c r="G949" s="536">
        <f t="shared" si="223"/>
        <v>200</v>
      </c>
      <c r="H949" s="906"/>
      <c r="I949" s="906"/>
      <c r="J949" s="528" t="e">
        <f t="shared" si="224"/>
        <v>#N/A</v>
      </c>
      <c r="K949" s="529" t="e">
        <f t="shared" si="225"/>
        <v>#N/A</v>
      </c>
      <c r="L949" s="529" t="e">
        <f t="shared" si="226"/>
        <v>#N/A</v>
      </c>
      <c r="M949" s="530"/>
      <c r="N949" s="739"/>
    </row>
    <row r="950" spans="2:14" ht="14.65" thickTop="1">
      <c r="B950" s="219" t="s">
        <v>1945</v>
      </c>
      <c r="C950" s="15" t="s">
        <v>1888</v>
      </c>
      <c r="D950" s="184">
        <f>E950*(1+$E$8)</f>
        <v>17600</v>
      </c>
      <c r="E950" s="184">
        <v>16000</v>
      </c>
      <c r="F950" s="174">
        <f>H953</f>
        <v>5345.9595959595963</v>
      </c>
      <c r="G950" s="489">
        <f>I953</f>
        <v>5545.9595959595963</v>
      </c>
      <c r="H950" s="500">
        <f>F950/E950</f>
        <v>0.33412247474747475</v>
      </c>
      <c r="I950" s="500">
        <f>G950/E950</f>
        <v>0.34662247474747476</v>
      </c>
      <c r="J950" s="492" t="e">
        <f>VLOOKUP(B950,'SALES MIX'!$B$82:$J$103,4)</f>
        <v>#N/A</v>
      </c>
      <c r="K950" s="477" t="e">
        <f>VLOOKUP(B950,'SALES MIX'!$B$82:$J$103,5)</f>
        <v>#N/A</v>
      </c>
      <c r="L950" s="221" t="e">
        <f>((F950*J950)+(G950*K950))/((J950+K950)*E950)</f>
        <v>#N/A</v>
      </c>
      <c r="M950" s="493"/>
      <c r="N950" s="493"/>
    </row>
    <row r="951" spans="2:14" ht="14.65" hidden="1" customHeight="1" outlineLevel="1" thickTop="1">
      <c r="B951" s="923" t="s">
        <v>608</v>
      </c>
      <c r="C951" s="925" t="s">
        <v>1305</v>
      </c>
      <c r="D951" s="927" t="s">
        <v>1306</v>
      </c>
      <c r="E951" s="927" t="s">
        <v>60</v>
      </c>
      <c r="F951" s="927" t="s">
        <v>615</v>
      </c>
      <c r="G951" s="927" t="s">
        <v>755</v>
      </c>
      <c r="H951" s="929" t="s">
        <v>1312</v>
      </c>
      <c r="I951" s="929"/>
      <c r="J951" s="929" t="s">
        <v>1319</v>
      </c>
      <c r="K951" s="929"/>
      <c r="L951" s="930" t="s">
        <v>1313</v>
      </c>
      <c r="M951" s="929" t="s">
        <v>912</v>
      </c>
      <c r="N951" s="933"/>
    </row>
    <row r="952" spans="2:14" ht="14.65" hidden="1" customHeight="1" outlineLevel="1" thickBot="1">
      <c r="B952" s="932"/>
      <c r="C952" s="896"/>
      <c r="D952" s="898"/>
      <c r="E952" s="898"/>
      <c r="F952" s="898"/>
      <c r="G952" s="898"/>
      <c r="H952" s="502" t="s">
        <v>1309</v>
      </c>
      <c r="I952" s="502" t="s">
        <v>1308</v>
      </c>
      <c r="J952" s="502" t="s">
        <v>1309</v>
      </c>
      <c r="K952" s="502" t="s">
        <v>1308</v>
      </c>
      <c r="L952" s="901"/>
      <c r="M952" s="903"/>
      <c r="N952" s="934"/>
    </row>
    <row r="953" spans="2:14" ht="14.25" hidden="1" customHeight="1" outlineLevel="1">
      <c r="B953" s="754" t="s">
        <v>1882</v>
      </c>
      <c r="C953" s="15" t="str">
        <f>IFERROR(VLOOKUP(B953,MasterSheet!$B$6:$N$150,3,),"n/a")</f>
        <v>Soft Drink Base</v>
      </c>
      <c r="D953" s="499">
        <v>65</v>
      </c>
      <c r="E953" s="505" t="str">
        <f>IFERROR(VLOOKUP(B953,[4]MasterSheet!$B$6:$N$144,10,),"N/a")</f>
        <v>g</v>
      </c>
      <c r="F953" s="506">
        <f>IFERROR(VLOOKUP(B953,MasterSheet!$B$6:$N$150,11,),"N/a")</f>
        <v>70.707070707070713</v>
      </c>
      <c r="G953" s="488">
        <f>IFERROR(D953*F953,"_")</f>
        <v>4595.9595959595963</v>
      </c>
      <c r="H953" s="905">
        <f>SUM(G953:G954)</f>
        <v>5345.9595959595963</v>
      </c>
      <c r="I953" s="905">
        <f>SUM(G953:G955)</f>
        <v>5545.9595959595963</v>
      </c>
      <c r="J953" s="491" t="e">
        <f>D953*$J$950</f>
        <v>#N/A</v>
      </c>
      <c r="K953" s="501" t="e">
        <f>D953*$K$950</f>
        <v>#N/A</v>
      </c>
      <c r="L953" s="501" t="e">
        <f>SUM(J953:K953)</f>
        <v>#N/A</v>
      </c>
      <c r="M953" s="493"/>
      <c r="N953" s="738"/>
    </row>
    <row r="954" spans="2:14" ht="14.25" hidden="1" customHeight="1" outlineLevel="1">
      <c r="B954" s="755" t="s">
        <v>1365</v>
      </c>
      <c r="C954" s="15" t="str">
        <f>IFERROR(VLOOKUP(B954,MasterSheet!$B$6:$N$521,3,),"n/a")</f>
        <v>Drink Package(16oz)</v>
      </c>
      <c r="D954" s="510">
        <v>1</v>
      </c>
      <c r="E954" s="505" t="str">
        <f>IFERROR(VLOOKUP(B954,[4]MasterSheet!$B$6:$N$515,10,),"N/a")</f>
        <v>ea</v>
      </c>
      <c r="F954" s="506">
        <f>IFERROR(VLOOKUP(B954,MasterSheet!$B$6:$N$521,11,),"N/a")</f>
        <v>750</v>
      </c>
      <c r="G954" s="488">
        <f t="shared" ref="G954:G955" si="227">IFERROR(D954*F954,"_")</f>
        <v>750</v>
      </c>
      <c r="H954" s="905"/>
      <c r="I954" s="905"/>
      <c r="J954" s="491" t="e">
        <f t="shared" ref="J954:J955" si="228">D954*$J$950</f>
        <v>#N/A</v>
      </c>
      <c r="K954" s="501" t="e">
        <f t="shared" ref="K954:K955" si="229">D954*$K$950</f>
        <v>#N/A</v>
      </c>
      <c r="L954" s="501" t="e">
        <f t="shared" ref="L954:L955" si="230">SUM(J954:K954)</f>
        <v>#N/A</v>
      </c>
      <c r="M954" s="493"/>
      <c r="N954" s="738"/>
    </row>
    <row r="955" spans="2:14" ht="14.65" hidden="1" customHeight="1" outlineLevel="1" thickBot="1">
      <c r="B955" s="753" t="s">
        <v>1669</v>
      </c>
      <c r="C955" s="28" t="str">
        <f>IFERROR(VLOOKUP(B955,MasterSheet!$B$6:$N$421,3,),"n/a")</f>
        <v>Drink Package lid</v>
      </c>
      <c r="D955" s="533">
        <v>1</v>
      </c>
      <c r="E955" s="534" t="str">
        <f>IFERROR(VLOOKUP(B955,[4]MasterSheet!B744:N1335,10,),"N/a")</f>
        <v>N/a</v>
      </c>
      <c r="F955" s="535">
        <f>IFERROR(VLOOKUP(B955,MasterSheet!$B$6:$N$421,11,),"N/a")</f>
        <v>200</v>
      </c>
      <c r="G955" s="536">
        <f t="shared" si="227"/>
        <v>200</v>
      </c>
      <c r="H955" s="906"/>
      <c r="I955" s="906"/>
      <c r="J955" s="528" t="e">
        <f t="shared" si="228"/>
        <v>#N/A</v>
      </c>
      <c r="K955" s="529" t="e">
        <f t="shared" si="229"/>
        <v>#N/A</v>
      </c>
      <c r="L955" s="529" t="e">
        <f t="shared" si="230"/>
        <v>#N/A</v>
      </c>
      <c r="M955" s="530"/>
      <c r="N955" s="739"/>
    </row>
    <row r="956" spans="2:14" collapsed="1">
      <c r="B956" s="219" t="s">
        <v>1947</v>
      </c>
      <c r="C956" s="15" t="s">
        <v>1890</v>
      </c>
      <c r="D956" s="184">
        <f>E956*(1+$E$8)</f>
        <v>17600</v>
      </c>
      <c r="E956" s="184">
        <v>16000</v>
      </c>
      <c r="F956" s="174">
        <f>H959</f>
        <v>3103.1826086956521</v>
      </c>
      <c r="G956" s="489">
        <f>I959</f>
        <v>3311.1826086956521</v>
      </c>
      <c r="H956" s="500">
        <f>F956/E956</f>
        <v>0.19394891304347825</v>
      </c>
      <c r="I956" s="500">
        <f>G956/E956</f>
        <v>0.20694891304347826</v>
      </c>
      <c r="J956" s="492" t="e">
        <f>VLOOKUP(B956,'SALES MIX'!$B$82:$J$103,4)</f>
        <v>#N/A</v>
      </c>
      <c r="K956" s="477" t="e">
        <f>VLOOKUP(B956,'SALES MIX'!$B$82:$J$103,5)</f>
        <v>#N/A</v>
      </c>
      <c r="L956" s="221" t="e">
        <f>((F956*J956)+(G956*K956))/((J956+K956)*E956)</f>
        <v>#N/A</v>
      </c>
      <c r="M956" s="493"/>
      <c r="N956" s="493"/>
    </row>
    <row r="957" spans="2:14" ht="14.65" hidden="1" customHeight="1" outlineLevel="1" thickTop="1">
      <c r="B957" s="923" t="s">
        <v>608</v>
      </c>
      <c r="C957" s="925" t="s">
        <v>1305</v>
      </c>
      <c r="D957" s="927" t="s">
        <v>1306</v>
      </c>
      <c r="E957" s="927" t="s">
        <v>60</v>
      </c>
      <c r="F957" s="927" t="s">
        <v>615</v>
      </c>
      <c r="G957" s="927" t="s">
        <v>755</v>
      </c>
      <c r="H957" s="929" t="s">
        <v>1312</v>
      </c>
      <c r="I957" s="929"/>
      <c r="J957" s="929" t="s">
        <v>1319</v>
      </c>
      <c r="K957" s="929"/>
      <c r="L957" s="930" t="s">
        <v>1313</v>
      </c>
      <c r="M957" s="929" t="s">
        <v>912</v>
      </c>
      <c r="N957" s="933"/>
    </row>
    <row r="958" spans="2:14" ht="14.65" hidden="1" customHeight="1" outlineLevel="1" thickBot="1">
      <c r="B958" s="932"/>
      <c r="C958" s="896"/>
      <c r="D958" s="898"/>
      <c r="E958" s="898"/>
      <c r="F958" s="898"/>
      <c r="G958" s="898"/>
      <c r="H958" s="502" t="s">
        <v>1309</v>
      </c>
      <c r="I958" s="502" t="s">
        <v>1308</v>
      </c>
      <c r="J958" s="502" t="s">
        <v>1309</v>
      </c>
      <c r="K958" s="502" t="s">
        <v>1308</v>
      </c>
      <c r="L958" s="901"/>
      <c r="M958" s="903"/>
      <c r="N958" s="934"/>
    </row>
    <row r="959" spans="2:14" ht="14.25" hidden="1" customHeight="1" outlineLevel="1">
      <c r="B959" s="754" t="s">
        <v>1899</v>
      </c>
      <c r="C959" s="15" t="str">
        <f>IFERROR(VLOOKUP(B959,MasterSheet!$B$6:$N$150,3,),"n/a")</f>
        <v>BONALLIE BLACK TEA</v>
      </c>
      <c r="D959" s="499">
        <v>30</v>
      </c>
      <c r="E959" s="505" t="str">
        <f>IFERROR(VLOOKUP(B959,[4]MasterSheet!$B$6:$N$144,10,),"N/a")</f>
        <v>g</v>
      </c>
      <c r="F959" s="506">
        <f>IFERROR(VLOOKUP(B959,MasterSheet!$B$6:$N$150,11,),"N/a")</f>
        <v>60.326086956521742</v>
      </c>
      <c r="G959" s="488">
        <f>IFERROR(D959*F959,"_")</f>
        <v>1809.7826086956522</v>
      </c>
      <c r="H959" s="905">
        <f>SUM(G959:G962)</f>
        <v>3103.1826086956521</v>
      </c>
      <c r="I959" s="905">
        <f>SUM(G959:G963)</f>
        <v>3311.1826086956521</v>
      </c>
      <c r="J959" s="491" t="e">
        <f>D959*$J$956</f>
        <v>#N/A</v>
      </c>
      <c r="K959" s="501" t="e">
        <f>D959*$K$956</f>
        <v>#N/A</v>
      </c>
      <c r="L959" s="501" t="e">
        <f>SUM(J959:K959)</f>
        <v>#N/A</v>
      </c>
      <c r="M959" s="493"/>
      <c r="N959" s="738"/>
    </row>
    <row r="960" spans="2:14" ht="14.25" hidden="1" customHeight="1" outlineLevel="1">
      <c r="B960" s="754" t="s">
        <v>1898</v>
      </c>
      <c r="C960" s="15" t="str">
        <f>IFERROR(VLOOKUP(B960,MasterSheet!$B$6:$N$150,3,),"n/a")</f>
        <v>Honey</v>
      </c>
      <c r="D960" s="499">
        <v>10</v>
      </c>
      <c r="E960" s="505" t="str">
        <f>IFERROR(VLOOKUP(B960,[4]MasterSheet!$B$6:$N$144,10,),"N/a")</f>
        <v>g</v>
      </c>
      <c r="F960" s="506">
        <f>IFERROR(VLOOKUP(B960,MasterSheet!$B$6:$N$150,11,),"N/a")</f>
        <v>59.94</v>
      </c>
      <c r="G960" s="488">
        <f>IFERROR(D960*F960,"_")</f>
        <v>599.4</v>
      </c>
      <c r="H960" s="905"/>
      <c r="I960" s="905"/>
      <c r="J960" s="491" t="e">
        <f t="shared" ref="J960:J963" si="231">D960*$J$956</f>
        <v>#N/A</v>
      </c>
      <c r="K960" s="501" t="e">
        <f t="shared" ref="K960:K963" si="232">D960*$K$956</f>
        <v>#N/A</v>
      </c>
      <c r="L960" s="501" t="e">
        <f t="shared" ref="L960:L962" si="233">SUM(J960:K960)</f>
        <v>#N/A</v>
      </c>
      <c r="M960" s="493"/>
      <c r="N960" s="738"/>
    </row>
    <row r="961" spans="2:14" ht="14.25" hidden="1" customHeight="1" outlineLevel="1">
      <c r="B961" s="754"/>
      <c r="C961" s="15"/>
      <c r="D961" s="499"/>
      <c r="E961" s="505"/>
      <c r="F961" s="506"/>
      <c r="G961" s="488"/>
      <c r="H961" s="905"/>
      <c r="I961" s="905"/>
      <c r="J961" s="491" t="e">
        <f t="shared" si="231"/>
        <v>#N/A</v>
      </c>
      <c r="K961" s="501" t="e">
        <f t="shared" si="232"/>
        <v>#N/A</v>
      </c>
      <c r="L961" s="501" t="e">
        <f t="shared" si="233"/>
        <v>#N/A</v>
      </c>
      <c r="M961" s="493"/>
      <c r="N961" s="738"/>
    </row>
    <row r="962" spans="2:14" ht="14.25" hidden="1" customHeight="1" outlineLevel="1">
      <c r="B962" s="755" t="s">
        <v>1736</v>
      </c>
      <c r="C962" s="15" t="str">
        <f>IFERROR(VLOOKUP(B962,MasterSheet!$B$6:$N$521,3,),"n/a")</f>
        <v>CUP PLS #14</v>
      </c>
      <c r="D962" s="510">
        <v>1</v>
      </c>
      <c r="E962" s="505" t="str">
        <f>IFERROR(VLOOKUP(B962,[4]MasterSheet!$B$6:$N$515,10,),"N/a")</f>
        <v>ea</v>
      </c>
      <c r="F962" s="506">
        <f>IFERROR(VLOOKUP(B962,MasterSheet!$B$6:$N$521,11,),"N/a")</f>
        <v>694</v>
      </c>
      <c r="G962" s="488">
        <f t="shared" ref="G962:G963" si="234">IFERROR(D962*F962,"_")</f>
        <v>694</v>
      </c>
      <c r="H962" s="905"/>
      <c r="I962" s="905"/>
      <c r="J962" s="491" t="e">
        <f t="shared" si="231"/>
        <v>#N/A</v>
      </c>
      <c r="K962" s="501" t="e">
        <f t="shared" si="232"/>
        <v>#N/A</v>
      </c>
      <c r="L962" s="501" t="e">
        <f t="shared" si="233"/>
        <v>#N/A</v>
      </c>
      <c r="M962" s="493"/>
      <c r="N962" s="738"/>
    </row>
    <row r="963" spans="2:14" ht="14.65" hidden="1" customHeight="1" outlineLevel="1" thickBot="1">
      <c r="B963" s="753" t="s">
        <v>1743</v>
      </c>
      <c r="C963" s="28" t="str">
        <f>IFERROR(VLOOKUP(B963,MasterSheet!$B$6:$N$421,3,),"n/a")</f>
        <v>LID CUP #14 FLAT</v>
      </c>
      <c r="D963" s="533">
        <v>1</v>
      </c>
      <c r="E963" s="534" t="str">
        <f>IFERROR(VLOOKUP(B963,[4]MasterSheet!B750:N1341,10,),"N/a")</f>
        <v>N/a</v>
      </c>
      <c r="F963" s="535">
        <f>IFERROR(VLOOKUP(B963,MasterSheet!$B$6:$N$421,11,),"N/a")</f>
        <v>208</v>
      </c>
      <c r="G963" s="536">
        <f t="shared" si="234"/>
        <v>208</v>
      </c>
      <c r="H963" s="906"/>
      <c r="I963" s="906"/>
      <c r="J963" s="528" t="e">
        <f t="shared" si="231"/>
        <v>#N/A</v>
      </c>
      <c r="K963" s="529" t="e">
        <f t="shared" si="232"/>
        <v>#N/A</v>
      </c>
      <c r="L963" s="529" t="e">
        <f t="shared" ref="L963" si="235">SUM(J963:K963)</f>
        <v>#N/A</v>
      </c>
      <c r="M963" s="530"/>
      <c r="N963" s="739"/>
    </row>
    <row r="964" spans="2:14" collapsed="1">
      <c r="B964" s="219" t="s">
        <v>1949</v>
      </c>
      <c r="C964" s="15" t="s">
        <v>1902</v>
      </c>
      <c r="D964" s="184">
        <f>E964*(1+$E$8)</f>
        <v>17600</v>
      </c>
      <c r="E964" s="184">
        <v>16000</v>
      </c>
      <c r="F964" s="174">
        <f>H967</f>
        <v>5196.1119016249449</v>
      </c>
      <c r="G964" s="489">
        <f>I967</f>
        <v>5404.1119016249449</v>
      </c>
      <c r="H964" s="500">
        <f>F964/E964</f>
        <v>0.32475699385155904</v>
      </c>
      <c r="I964" s="500">
        <f>G964/E964</f>
        <v>0.33775699385155905</v>
      </c>
      <c r="J964" s="492" t="e">
        <f>VLOOKUP(B964,'SALES MIX'!$B$82:$J$103,4)</f>
        <v>#N/A</v>
      </c>
      <c r="K964" s="477" t="e">
        <f>VLOOKUP(B964,'SALES MIX'!$B$82:$J$103,5)</f>
        <v>#N/A</v>
      </c>
      <c r="L964" s="221" t="e">
        <f>((F964*J964)+(G964*K964))/((J964+K964)*E964)</f>
        <v>#N/A</v>
      </c>
      <c r="M964" s="493"/>
      <c r="N964" s="493"/>
    </row>
    <row r="965" spans="2:14" ht="14.65" hidden="1" customHeight="1" outlineLevel="1" thickTop="1">
      <c r="B965" s="923" t="s">
        <v>608</v>
      </c>
      <c r="C965" s="925" t="s">
        <v>1305</v>
      </c>
      <c r="D965" s="927" t="s">
        <v>1306</v>
      </c>
      <c r="E965" s="927" t="s">
        <v>60</v>
      </c>
      <c r="F965" s="927" t="s">
        <v>615</v>
      </c>
      <c r="G965" s="927" t="s">
        <v>755</v>
      </c>
      <c r="H965" s="929" t="s">
        <v>1312</v>
      </c>
      <c r="I965" s="929"/>
      <c r="J965" s="929" t="s">
        <v>1319</v>
      </c>
      <c r="K965" s="929"/>
      <c r="L965" s="930" t="s">
        <v>1313</v>
      </c>
      <c r="M965" s="929" t="s">
        <v>912</v>
      </c>
      <c r="N965" s="933"/>
    </row>
    <row r="966" spans="2:14" ht="14.65" hidden="1" customHeight="1" outlineLevel="1" thickBot="1">
      <c r="B966" s="932"/>
      <c r="C966" s="896"/>
      <c r="D966" s="898"/>
      <c r="E966" s="898"/>
      <c r="F966" s="898"/>
      <c r="G966" s="898"/>
      <c r="H966" s="502" t="s">
        <v>1309</v>
      </c>
      <c r="I966" s="502" t="s">
        <v>1308</v>
      </c>
      <c r="J966" s="502" t="s">
        <v>1309</v>
      </c>
      <c r="K966" s="502" t="s">
        <v>1308</v>
      </c>
      <c r="L966" s="901"/>
      <c r="M966" s="903"/>
      <c r="N966" s="934"/>
    </row>
    <row r="967" spans="2:14" ht="14.25" hidden="1" customHeight="1" outlineLevel="1">
      <c r="B967" s="754" t="s">
        <v>1899</v>
      </c>
      <c r="C967" s="15" t="str">
        <f>IFERROR(VLOOKUP(B967,MasterSheet!$B$6:$N$150,3,),"n/a")</f>
        <v>BONALLIE BLACK TEA</v>
      </c>
      <c r="D967" s="499">
        <v>30</v>
      </c>
      <c r="E967" s="505" t="str">
        <f>IFERROR(VLOOKUP(B967,[4]MasterSheet!$B$6:$N$144,10,),"N/a")</f>
        <v>g</v>
      </c>
      <c r="F967" s="506">
        <f>IFERROR(VLOOKUP(B967,MasterSheet!$B$6:$N$150,11,),"N/a")</f>
        <v>60.326086956521742</v>
      </c>
      <c r="G967" s="488">
        <f>IFERROR(D967*F967,"_")</f>
        <v>1809.7826086956522</v>
      </c>
      <c r="H967" s="905">
        <f>SUM(G967:G970)</f>
        <v>5196.1119016249449</v>
      </c>
      <c r="I967" s="905">
        <f>SUM(G967:G971)</f>
        <v>5404.1119016249449</v>
      </c>
      <c r="J967" s="491" t="e">
        <f>D967*$J$964</f>
        <v>#N/A</v>
      </c>
      <c r="K967" s="501" t="e">
        <f>D967*$K$964</f>
        <v>#N/A</v>
      </c>
      <c r="L967" s="501" t="e">
        <f>SUM(J967:K967)</f>
        <v>#N/A</v>
      </c>
      <c r="M967" s="493"/>
      <c r="N967" s="738"/>
    </row>
    <row r="968" spans="2:14" ht="14.25" hidden="1" customHeight="1" outlineLevel="1">
      <c r="B968" s="754" t="s">
        <v>1898</v>
      </c>
      <c r="C968" s="15" t="str">
        <f>IFERROR(VLOOKUP(B968,MasterSheet!$B$6:$N$150,3,),"n/a")</f>
        <v>Honey</v>
      </c>
      <c r="D968" s="499">
        <v>10</v>
      </c>
      <c r="E968" s="505" t="str">
        <f>IFERROR(VLOOKUP(B968,[4]MasterSheet!$B$6:$N$144,10,),"N/a")</f>
        <v>g</v>
      </c>
      <c r="F968" s="506">
        <f>IFERROR(VLOOKUP(B968,MasterSheet!$B$6:$N$150,11,),"N/a")</f>
        <v>59.94</v>
      </c>
      <c r="G968" s="488">
        <f>IFERROR(D968*F968,"_")</f>
        <v>599.4</v>
      </c>
      <c r="H968" s="905"/>
      <c r="I968" s="905"/>
      <c r="J968" s="491" t="e">
        <f t="shared" ref="J968:J971" si="236">D968*$J$964</f>
        <v>#N/A</v>
      </c>
      <c r="K968" s="501" t="e">
        <f t="shared" ref="K968:K971" si="237">D968*$K$964</f>
        <v>#N/A</v>
      </c>
      <c r="L968" s="501" t="e">
        <f t="shared" ref="L968:L969" si="238">SUM(J968:K968)</f>
        <v>#N/A</v>
      </c>
      <c r="M968" s="493"/>
      <c r="N968" s="738"/>
    </row>
    <row r="969" spans="2:14" ht="14.25" hidden="1" customHeight="1" outlineLevel="1">
      <c r="B969" s="754" t="s">
        <v>1903</v>
      </c>
      <c r="C969" s="15" t="str">
        <f>IFERROR(VLOOKUP(B969,MasterSheet!$B$6:$N$150,3,),"n/a")</f>
        <v>BONALLIE LYCHEE</v>
      </c>
      <c r="D969" s="499">
        <v>20</v>
      </c>
      <c r="E969" s="505" t="str">
        <f>IFERROR(VLOOKUP(B969,[4]MasterSheet!$B$6:$N$144,10,),"N/a")</f>
        <v>ml</v>
      </c>
      <c r="F969" s="506">
        <f>IFERROR(VLOOKUP(B969,MasterSheet!$B$6:$N$150,11,),"N/a")</f>
        <v>104.64646464646464</v>
      </c>
      <c r="G969" s="488">
        <f>IFERROR(D969*F969,"_")</f>
        <v>2092.9292929292928</v>
      </c>
      <c r="H969" s="905"/>
      <c r="I969" s="905"/>
      <c r="J969" s="491" t="e">
        <f t="shared" si="236"/>
        <v>#N/A</v>
      </c>
      <c r="K969" s="501" t="e">
        <f t="shared" si="237"/>
        <v>#N/A</v>
      </c>
      <c r="L969" s="501" t="e">
        <f t="shared" si="238"/>
        <v>#N/A</v>
      </c>
      <c r="M969" s="493"/>
      <c r="N969" s="738"/>
    </row>
    <row r="970" spans="2:14" ht="14.25" hidden="1" customHeight="1" outlineLevel="1">
      <c r="B970" s="755" t="s">
        <v>1736</v>
      </c>
      <c r="C970" s="15" t="str">
        <f>IFERROR(VLOOKUP(B970,MasterSheet!$B$6:$N$521,3,),"n/a")</f>
        <v>CUP PLS #14</v>
      </c>
      <c r="D970" s="510">
        <v>1</v>
      </c>
      <c r="E970" s="505" t="str">
        <f>IFERROR(VLOOKUP(B970,[4]MasterSheet!$B$6:$N$515,10,),"N/a")</f>
        <v>ea</v>
      </c>
      <c r="F970" s="506">
        <f>IFERROR(VLOOKUP(B970,MasterSheet!$B$6:$N$521,11,),"N/a")</f>
        <v>694</v>
      </c>
      <c r="G970" s="488">
        <f t="shared" ref="G970:G971" si="239">IFERROR(D970*F970,"_")</f>
        <v>694</v>
      </c>
      <c r="H970" s="905"/>
      <c r="I970" s="905"/>
      <c r="J970" s="491" t="e">
        <f t="shared" si="236"/>
        <v>#N/A</v>
      </c>
      <c r="K970" s="501" t="e">
        <f t="shared" si="237"/>
        <v>#N/A</v>
      </c>
      <c r="L970" s="501" t="e">
        <f t="shared" ref="L970:L971" si="240">SUM(J970:K970)</f>
        <v>#N/A</v>
      </c>
      <c r="M970" s="493"/>
      <c r="N970" s="738"/>
    </row>
    <row r="971" spans="2:14" ht="14.65" hidden="1" customHeight="1" outlineLevel="1" thickBot="1">
      <c r="B971" s="753" t="s">
        <v>1743</v>
      </c>
      <c r="C971" s="28" t="str">
        <f>IFERROR(VLOOKUP(B971,MasterSheet!$B$6:$N$421,3,),"n/a")</f>
        <v>LID CUP #14 FLAT</v>
      </c>
      <c r="D971" s="533">
        <v>1</v>
      </c>
      <c r="E971" s="534" t="str">
        <f>IFERROR(VLOOKUP(B971,[4]MasterSheet!B758:N1349,10,),"N/a")</f>
        <v>N/a</v>
      </c>
      <c r="F971" s="535">
        <f>IFERROR(VLOOKUP(B971,MasterSheet!$B$6:$N$421,11,),"N/a")</f>
        <v>208</v>
      </c>
      <c r="G971" s="536">
        <f t="shared" si="239"/>
        <v>208</v>
      </c>
      <c r="H971" s="906"/>
      <c r="I971" s="906"/>
      <c r="J971" s="528" t="e">
        <f t="shared" si="236"/>
        <v>#N/A</v>
      </c>
      <c r="K971" s="529" t="e">
        <f t="shared" si="237"/>
        <v>#N/A</v>
      </c>
      <c r="L971" s="529" t="e">
        <f t="shared" si="240"/>
        <v>#N/A</v>
      </c>
      <c r="M971" s="530"/>
      <c r="N971" s="739"/>
    </row>
    <row r="972" spans="2:14" collapsed="1">
      <c r="B972" s="219" t="s">
        <v>1951</v>
      </c>
      <c r="C972" s="15" t="s">
        <v>1905</v>
      </c>
      <c r="D972" s="184">
        <f>E972*(1+$E$8)</f>
        <v>17600</v>
      </c>
      <c r="E972" s="184">
        <v>16000</v>
      </c>
      <c r="F972" s="174">
        <f>H975</f>
        <v>5196.1119016249449</v>
      </c>
      <c r="G972" s="489">
        <f>I975</f>
        <v>5404.1119016249449</v>
      </c>
      <c r="H972" s="500">
        <f>F972/E972</f>
        <v>0.32475699385155904</v>
      </c>
      <c r="I972" s="500">
        <f>G972/E972</f>
        <v>0.33775699385155905</v>
      </c>
      <c r="J972" s="492" t="e">
        <f>VLOOKUP(B972,'SALES MIX'!$B$82:$J$103,4)</f>
        <v>#N/A</v>
      </c>
      <c r="K972" s="477" t="e">
        <f>VLOOKUP(B972,'SALES MIX'!$B$82:$J$103,5)</f>
        <v>#N/A</v>
      </c>
      <c r="L972" s="221" t="e">
        <f>((F972*J972)+(G972*K972))/((J972+K972)*E972)</f>
        <v>#N/A</v>
      </c>
      <c r="M972" s="493"/>
      <c r="N972" s="493"/>
    </row>
    <row r="973" spans="2:14" ht="14.65" hidden="1" customHeight="1" outlineLevel="1" thickTop="1">
      <c r="B973" s="923" t="s">
        <v>608</v>
      </c>
      <c r="C973" s="925" t="s">
        <v>1305</v>
      </c>
      <c r="D973" s="927" t="s">
        <v>1306</v>
      </c>
      <c r="E973" s="927" t="s">
        <v>60</v>
      </c>
      <c r="F973" s="927" t="s">
        <v>615</v>
      </c>
      <c r="G973" s="927" t="s">
        <v>755</v>
      </c>
      <c r="H973" s="929" t="s">
        <v>1312</v>
      </c>
      <c r="I973" s="929"/>
      <c r="J973" s="929" t="s">
        <v>1319</v>
      </c>
      <c r="K973" s="929"/>
      <c r="L973" s="930" t="s">
        <v>1313</v>
      </c>
      <c r="M973" s="929" t="s">
        <v>912</v>
      </c>
      <c r="N973" s="933"/>
    </row>
    <row r="974" spans="2:14" ht="14.65" hidden="1" customHeight="1" outlineLevel="1" thickBot="1">
      <c r="B974" s="932"/>
      <c r="C974" s="896"/>
      <c r="D974" s="898"/>
      <c r="E974" s="898"/>
      <c r="F974" s="898"/>
      <c r="G974" s="898"/>
      <c r="H974" s="502" t="s">
        <v>1309</v>
      </c>
      <c r="I974" s="502" t="s">
        <v>1308</v>
      </c>
      <c r="J974" s="502" t="s">
        <v>1309</v>
      </c>
      <c r="K974" s="502" t="s">
        <v>1308</v>
      </c>
      <c r="L974" s="901"/>
      <c r="M974" s="903"/>
      <c r="N974" s="934"/>
    </row>
    <row r="975" spans="2:14" ht="14.25" hidden="1" customHeight="1" outlineLevel="1">
      <c r="B975" s="754" t="s">
        <v>1899</v>
      </c>
      <c r="C975" s="15" t="str">
        <f>IFERROR(VLOOKUP(B975,MasterSheet!$B$6:$N$150,3,),"n/a")</f>
        <v>BONALLIE BLACK TEA</v>
      </c>
      <c r="D975" s="499">
        <v>30</v>
      </c>
      <c r="E975" s="505" t="str">
        <f>IFERROR(VLOOKUP(B975,[4]MasterSheet!$B$6:$N$144,10,),"N/a")</f>
        <v>g</v>
      </c>
      <c r="F975" s="506">
        <f>IFERROR(VLOOKUP(B975,MasterSheet!$B$6:$N$150,11,),"N/a")</f>
        <v>60.326086956521742</v>
      </c>
      <c r="G975" s="488">
        <f>IFERROR(D975*F975,"_")</f>
        <v>1809.7826086956522</v>
      </c>
      <c r="H975" s="905">
        <f>SUM(G975:G978)</f>
        <v>5196.1119016249449</v>
      </c>
      <c r="I975" s="905">
        <f>SUM(G975:G979)</f>
        <v>5404.1119016249449</v>
      </c>
      <c r="J975" s="491" t="e">
        <f>D975*$J$972</f>
        <v>#N/A</v>
      </c>
      <c r="K975" s="501" t="e">
        <f>D975*$K$972</f>
        <v>#N/A</v>
      </c>
      <c r="L975" s="501" t="e">
        <f>SUM(J975:K975)</f>
        <v>#N/A</v>
      </c>
      <c r="M975" s="493"/>
      <c r="N975" s="738"/>
    </row>
    <row r="976" spans="2:14" ht="14.25" hidden="1" customHeight="1" outlineLevel="1">
      <c r="B976" s="754" t="s">
        <v>1898</v>
      </c>
      <c r="C976" s="15" t="str">
        <f>IFERROR(VLOOKUP(B976,MasterSheet!$B$6:$N$150,3,),"n/a")</f>
        <v>Honey</v>
      </c>
      <c r="D976" s="499">
        <v>10</v>
      </c>
      <c r="E976" s="505" t="str">
        <f>IFERROR(VLOOKUP(B976,[4]MasterSheet!$B$6:$N$144,10,),"N/a")</f>
        <v>g</v>
      </c>
      <c r="F976" s="506">
        <f>IFERROR(VLOOKUP(B976,MasterSheet!$B$6:$N$150,11,),"N/a")</f>
        <v>59.94</v>
      </c>
      <c r="G976" s="488">
        <f>IFERROR(D976*F976,"_")</f>
        <v>599.4</v>
      </c>
      <c r="H976" s="905"/>
      <c r="I976" s="905"/>
      <c r="J976" s="491" t="e">
        <f t="shared" ref="J976:J979" si="241">D976*$J$972</f>
        <v>#N/A</v>
      </c>
      <c r="K976" s="501" t="e">
        <f t="shared" ref="K976:K979" si="242">D976*$K$972</f>
        <v>#N/A</v>
      </c>
      <c r="L976" s="501" t="e">
        <f t="shared" ref="L976:L977" si="243">SUM(J976:K976)</f>
        <v>#N/A</v>
      </c>
      <c r="M976" s="493"/>
      <c r="N976" s="738"/>
    </row>
    <row r="977" spans="2:14" ht="14.25" hidden="1" customHeight="1" outlineLevel="1">
      <c r="B977" s="754" t="s">
        <v>1908</v>
      </c>
      <c r="C977" s="15" t="str">
        <f>IFERROR(VLOOKUP(B977,MasterSheet!$B$6:$N$150,3,),"n/a")</f>
        <v>BONALLIE MANGO</v>
      </c>
      <c r="D977" s="499">
        <v>20</v>
      </c>
      <c r="E977" s="505" t="str">
        <f>IFERROR(VLOOKUP(B977,[4]MasterSheet!$B$6:$N$144,10,),"N/a")</f>
        <v>ml</v>
      </c>
      <c r="F977" s="506">
        <f>IFERROR(VLOOKUP(B977,MasterSheet!$B$6:$N$150,11,),"N/a")</f>
        <v>104.64646464646464</v>
      </c>
      <c r="G977" s="488">
        <f>IFERROR(D977*F977,"_")</f>
        <v>2092.9292929292928</v>
      </c>
      <c r="H977" s="905"/>
      <c r="I977" s="905"/>
      <c r="J977" s="491" t="e">
        <f t="shared" si="241"/>
        <v>#N/A</v>
      </c>
      <c r="K977" s="501" t="e">
        <f t="shared" si="242"/>
        <v>#N/A</v>
      </c>
      <c r="L977" s="501" t="e">
        <f t="shared" si="243"/>
        <v>#N/A</v>
      </c>
      <c r="M977" s="493"/>
      <c r="N977" s="738"/>
    </row>
    <row r="978" spans="2:14" ht="14.25" hidden="1" customHeight="1" outlineLevel="1">
      <c r="B978" s="755" t="s">
        <v>1736</v>
      </c>
      <c r="C978" s="15" t="str">
        <f>IFERROR(VLOOKUP(B978,MasterSheet!$B$6:$N$521,3,),"n/a")</f>
        <v>CUP PLS #14</v>
      </c>
      <c r="D978" s="510">
        <v>1</v>
      </c>
      <c r="E978" s="505" t="str">
        <f>IFERROR(VLOOKUP(B978,[4]MasterSheet!$B$6:$N$515,10,),"N/a")</f>
        <v>ea</v>
      </c>
      <c r="F978" s="506">
        <f>IFERROR(VLOOKUP(B978,MasterSheet!$B$6:$N$521,11,),"N/a")</f>
        <v>694</v>
      </c>
      <c r="G978" s="488">
        <f t="shared" ref="G978:G979" si="244">IFERROR(D978*F978,"_")</f>
        <v>694</v>
      </c>
      <c r="H978" s="905"/>
      <c r="I978" s="905"/>
      <c r="J978" s="491" t="e">
        <f t="shared" si="241"/>
        <v>#N/A</v>
      </c>
      <c r="K978" s="501" t="e">
        <f t="shared" si="242"/>
        <v>#N/A</v>
      </c>
      <c r="L978" s="501" t="e">
        <f t="shared" ref="L978:L979" si="245">SUM(J978:K978)</f>
        <v>#N/A</v>
      </c>
      <c r="M978" s="493"/>
      <c r="N978" s="738"/>
    </row>
    <row r="979" spans="2:14" ht="14.65" hidden="1" customHeight="1" outlineLevel="1" thickBot="1">
      <c r="B979" s="753" t="s">
        <v>1743</v>
      </c>
      <c r="C979" s="28" t="str">
        <f>IFERROR(VLOOKUP(B979,MasterSheet!$B$6:$N$421,3,),"n/a")</f>
        <v>LID CUP #14 FLAT</v>
      </c>
      <c r="D979" s="533">
        <v>1</v>
      </c>
      <c r="E979" s="534" t="str">
        <f>IFERROR(VLOOKUP(B979,[4]MasterSheet!B766:N1357,10,),"N/a")</f>
        <v>N/a</v>
      </c>
      <c r="F979" s="535">
        <f>IFERROR(VLOOKUP(B979,MasterSheet!$B$6:$N$421,11,),"N/a")</f>
        <v>208</v>
      </c>
      <c r="G979" s="536">
        <f t="shared" si="244"/>
        <v>208</v>
      </c>
      <c r="H979" s="906"/>
      <c r="I979" s="906"/>
      <c r="J979" s="528" t="e">
        <f t="shared" si="241"/>
        <v>#N/A</v>
      </c>
      <c r="K979" s="529" t="e">
        <f t="shared" si="242"/>
        <v>#N/A</v>
      </c>
      <c r="L979" s="529" t="e">
        <f t="shared" si="245"/>
        <v>#N/A</v>
      </c>
      <c r="M979" s="530"/>
      <c r="N979" s="739"/>
    </row>
    <row r="980" spans="2:14" collapsed="1">
      <c r="B980" s="219" t="s">
        <v>1953</v>
      </c>
      <c r="C980" s="15" t="s">
        <v>1907</v>
      </c>
      <c r="D980" s="184">
        <f>E980*(1+$E$8)</f>
        <v>17600</v>
      </c>
      <c r="E980" s="184">
        <v>16000</v>
      </c>
      <c r="F980" s="174">
        <f>H983</f>
        <v>5196.1119016249449</v>
      </c>
      <c r="G980" s="489">
        <f>I983</f>
        <v>5404.1119016249449</v>
      </c>
      <c r="H980" s="500">
        <f>F980/E980</f>
        <v>0.32475699385155904</v>
      </c>
      <c r="I980" s="500">
        <f>G980/E980</f>
        <v>0.33775699385155905</v>
      </c>
      <c r="J980" s="492" t="e">
        <f>VLOOKUP(B980,'SALES MIX'!$B$82:$J$103,4)</f>
        <v>#N/A</v>
      </c>
      <c r="K980" s="477" t="e">
        <f>VLOOKUP(B980,'SALES MIX'!$B$82:$J$103,5)</f>
        <v>#N/A</v>
      </c>
      <c r="L980" s="221" t="e">
        <f>((F980*J980)+(G980*K980))/((J980+K980)*E980)</f>
        <v>#N/A</v>
      </c>
      <c r="M980" s="493"/>
      <c r="N980" s="493"/>
    </row>
    <row r="981" spans="2:14" ht="14.65" hidden="1" customHeight="1" outlineLevel="1" thickTop="1">
      <c r="B981" s="923" t="s">
        <v>608</v>
      </c>
      <c r="C981" s="925" t="s">
        <v>1305</v>
      </c>
      <c r="D981" s="927" t="s">
        <v>1306</v>
      </c>
      <c r="E981" s="927" t="s">
        <v>60</v>
      </c>
      <c r="F981" s="927" t="s">
        <v>615</v>
      </c>
      <c r="G981" s="927" t="s">
        <v>755</v>
      </c>
      <c r="H981" s="929" t="s">
        <v>1312</v>
      </c>
      <c r="I981" s="929"/>
      <c r="J981" s="929" t="s">
        <v>1319</v>
      </c>
      <c r="K981" s="929"/>
      <c r="L981" s="930" t="s">
        <v>1313</v>
      </c>
      <c r="M981" s="929" t="s">
        <v>912</v>
      </c>
      <c r="N981" s="933"/>
    </row>
    <row r="982" spans="2:14" ht="14.65" hidden="1" customHeight="1" outlineLevel="1" thickBot="1">
      <c r="B982" s="932"/>
      <c r="C982" s="896"/>
      <c r="D982" s="898"/>
      <c r="E982" s="898"/>
      <c r="F982" s="898"/>
      <c r="G982" s="898"/>
      <c r="H982" s="502" t="s">
        <v>1309</v>
      </c>
      <c r="I982" s="502" t="s">
        <v>1308</v>
      </c>
      <c r="J982" s="502" t="s">
        <v>1309</v>
      </c>
      <c r="K982" s="502" t="s">
        <v>1308</v>
      </c>
      <c r="L982" s="901"/>
      <c r="M982" s="903"/>
      <c r="N982" s="934"/>
    </row>
    <row r="983" spans="2:14" ht="14.25" hidden="1" customHeight="1" outlineLevel="1">
      <c r="B983" s="754" t="s">
        <v>1899</v>
      </c>
      <c r="C983" s="15" t="str">
        <f>IFERROR(VLOOKUP(B983,MasterSheet!$B$6:$N$150,3,),"n/a")</f>
        <v>BONALLIE BLACK TEA</v>
      </c>
      <c r="D983" s="499">
        <v>30</v>
      </c>
      <c r="E983" s="505" t="str">
        <f>IFERROR(VLOOKUP(B983,[4]MasterSheet!$B$6:$N$144,10,),"N/a")</f>
        <v>g</v>
      </c>
      <c r="F983" s="506">
        <f>IFERROR(VLOOKUP(B983,MasterSheet!$B$6:$N$150,11,),"N/a")</f>
        <v>60.326086956521742</v>
      </c>
      <c r="G983" s="488">
        <f>IFERROR(D983*F983,"_")</f>
        <v>1809.7826086956522</v>
      </c>
      <c r="H983" s="905">
        <f>SUM(G983:G986)</f>
        <v>5196.1119016249449</v>
      </c>
      <c r="I983" s="905">
        <f>SUM(G983:G987)</f>
        <v>5404.1119016249449</v>
      </c>
      <c r="J983" s="491" t="e">
        <f>D983*$J$980</f>
        <v>#N/A</v>
      </c>
      <c r="K983" s="501" t="e">
        <f>D983*$K$980</f>
        <v>#N/A</v>
      </c>
      <c r="L983" s="501" t="e">
        <f>SUM(J983:K983)</f>
        <v>#N/A</v>
      </c>
      <c r="M983" s="493"/>
      <c r="N983" s="738"/>
    </row>
    <row r="984" spans="2:14" ht="14.25" hidden="1" customHeight="1" outlineLevel="1">
      <c r="B984" s="754" t="s">
        <v>1898</v>
      </c>
      <c r="C984" s="15" t="str">
        <f>IFERROR(VLOOKUP(B984,MasterSheet!$B$6:$N$150,3,),"n/a")</f>
        <v>Honey</v>
      </c>
      <c r="D984" s="499">
        <v>10</v>
      </c>
      <c r="E984" s="505" t="str">
        <f>IFERROR(VLOOKUP(B984,[4]MasterSheet!$B$6:$N$144,10,),"N/a")</f>
        <v>g</v>
      </c>
      <c r="F984" s="506">
        <f>IFERROR(VLOOKUP(B984,MasterSheet!$B$6:$N$150,11,),"N/a")</f>
        <v>59.94</v>
      </c>
      <c r="G984" s="488">
        <f>IFERROR(D984*F984,"_")</f>
        <v>599.4</v>
      </c>
      <c r="H984" s="905"/>
      <c r="I984" s="905"/>
      <c r="J984" s="491" t="e">
        <f t="shared" ref="J984:J987" si="246">D984*$J$980</f>
        <v>#N/A</v>
      </c>
      <c r="K984" s="501" t="e">
        <f t="shared" ref="K984:K987" si="247">D984*$K$980</f>
        <v>#N/A</v>
      </c>
      <c r="L984" s="501" t="e">
        <f t="shared" ref="L984:L986" si="248">SUM(J984:K984)</f>
        <v>#N/A</v>
      </c>
      <c r="M984" s="493"/>
      <c r="N984" s="738"/>
    </row>
    <row r="985" spans="2:14" ht="14.25" hidden="1" customHeight="1" outlineLevel="1">
      <c r="B985" s="754" t="s">
        <v>1909</v>
      </c>
      <c r="C985" s="15" t="str">
        <f>IFERROR(VLOOKUP(B985,MasterSheet!$B$6:$N$150,3,),"n/a")</f>
        <v>BONALLIE PEACH</v>
      </c>
      <c r="D985" s="499">
        <v>20</v>
      </c>
      <c r="E985" s="505" t="str">
        <f>IFERROR(VLOOKUP(B985,[4]MasterSheet!$B$6:$N$144,10,),"N/a")</f>
        <v>ml</v>
      </c>
      <c r="F985" s="506">
        <f>IFERROR(VLOOKUP(B985,MasterSheet!$B$6:$N$150,11,),"N/a")</f>
        <v>104.64646464646464</v>
      </c>
      <c r="G985" s="488">
        <f>IFERROR(D985*F985,"_")</f>
        <v>2092.9292929292928</v>
      </c>
      <c r="H985" s="905"/>
      <c r="I985" s="905"/>
      <c r="J985" s="491" t="e">
        <f t="shared" si="246"/>
        <v>#N/A</v>
      </c>
      <c r="K985" s="501" t="e">
        <f t="shared" si="247"/>
        <v>#N/A</v>
      </c>
      <c r="L985" s="501" t="e">
        <f t="shared" si="248"/>
        <v>#N/A</v>
      </c>
      <c r="M985" s="493"/>
      <c r="N985" s="738"/>
    </row>
    <row r="986" spans="2:14" ht="14.25" hidden="1" customHeight="1" outlineLevel="1">
      <c r="B986" s="755" t="s">
        <v>1736</v>
      </c>
      <c r="C986" s="15" t="str">
        <f>IFERROR(VLOOKUP(B986,MasterSheet!$B$6:$N$521,3,),"n/a")</f>
        <v>CUP PLS #14</v>
      </c>
      <c r="D986" s="510">
        <v>1</v>
      </c>
      <c r="E986" s="505" t="str">
        <f>IFERROR(VLOOKUP(B986,[4]MasterSheet!$B$6:$N$515,10,),"N/a")</f>
        <v>ea</v>
      </c>
      <c r="F986" s="506">
        <f>IFERROR(VLOOKUP(B986,MasterSheet!$B$6:$N$521,11,),"N/a")</f>
        <v>694</v>
      </c>
      <c r="G986" s="488">
        <f t="shared" ref="G986:G987" si="249">IFERROR(D986*F986,"_")</f>
        <v>694</v>
      </c>
      <c r="H986" s="905"/>
      <c r="I986" s="905"/>
      <c r="J986" s="491" t="e">
        <f t="shared" si="246"/>
        <v>#N/A</v>
      </c>
      <c r="K986" s="501" t="e">
        <f t="shared" si="247"/>
        <v>#N/A</v>
      </c>
      <c r="L986" s="501" t="e">
        <f t="shared" si="248"/>
        <v>#N/A</v>
      </c>
      <c r="M986" s="493"/>
      <c r="N986" s="738"/>
    </row>
    <row r="987" spans="2:14" ht="14.65" hidden="1" customHeight="1" outlineLevel="1" thickBot="1">
      <c r="B987" s="753" t="s">
        <v>1743</v>
      </c>
      <c r="C987" s="28" t="str">
        <f>IFERROR(VLOOKUP(B987,MasterSheet!$B$6:$N$421,3,),"n/a")</f>
        <v>LID CUP #14 FLAT</v>
      </c>
      <c r="D987" s="533">
        <v>1</v>
      </c>
      <c r="E987" s="534" t="str">
        <f>IFERROR(VLOOKUP(B987,[4]MasterSheet!B774:N1365,10,),"N/a")</f>
        <v>N/a</v>
      </c>
      <c r="F987" s="535">
        <f>IFERROR(VLOOKUP(B987,MasterSheet!$B$6:$N$421,11,),"N/a")</f>
        <v>208</v>
      </c>
      <c r="G987" s="536">
        <f t="shared" si="249"/>
        <v>208</v>
      </c>
      <c r="H987" s="906"/>
      <c r="I987" s="906"/>
      <c r="J987" s="528" t="e">
        <f t="shared" si="246"/>
        <v>#N/A</v>
      </c>
      <c r="K987" s="529" t="e">
        <f t="shared" si="247"/>
        <v>#N/A</v>
      </c>
      <c r="L987" s="529" t="e">
        <f t="shared" ref="L987" si="250">SUM(J987:K987)</f>
        <v>#N/A</v>
      </c>
      <c r="M987" s="530"/>
      <c r="N987" s="739"/>
    </row>
    <row r="988" spans="2:14" collapsed="1">
      <c r="B988" s="219" t="s">
        <v>1955</v>
      </c>
      <c r="C988" s="15" t="s">
        <v>1912</v>
      </c>
      <c r="D988" s="184">
        <f>E988*(1+$E$8)</f>
        <v>17600</v>
      </c>
      <c r="E988" s="184">
        <v>16000</v>
      </c>
      <c r="F988" s="174">
        <f>H991</f>
        <v>4883.393939393939</v>
      </c>
      <c r="G988" s="489">
        <f>I991</f>
        <v>5091.393939393939</v>
      </c>
      <c r="H988" s="500">
        <f>F988/E988</f>
        <v>0.30521212121212121</v>
      </c>
      <c r="I988" s="500">
        <f>G988/E988</f>
        <v>0.31821212121212117</v>
      </c>
      <c r="J988" s="492" t="e">
        <f>VLOOKUP(B988,'SALES MIX'!$B$82:$J$103,4)</f>
        <v>#N/A</v>
      </c>
      <c r="K988" s="477" t="e">
        <f>VLOOKUP(B988,'SALES MIX'!$B$82:$J$103,5)</f>
        <v>#N/A</v>
      </c>
      <c r="L988" s="221" t="str">
        <f>IFERROR(((F988*J988)+(G988*K988))/((J988+K988)*E988),"")</f>
        <v/>
      </c>
      <c r="M988" s="493"/>
      <c r="N988" s="493"/>
    </row>
    <row r="989" spans="2:14" ht="14.65" hidden="1" customHeight="1" outlineLevel="1" thickTop="1">
      <c r="B989" s="923" t="s">
        <v>608</v>
      </c>
      <c r="C989" s="925" t="s">
        <v>1305</v>
      </c>
      <c r="D989" s="927" t="s">
        <v>1306</v>
      </c>
      <c r="E989" s="927" t="s">
        <v>60</v>
      </c>
      <c r="F989" s="927" t="s">
        <v>615</v>
      </c>
      <c r="G989" s="927" t="s">
        <v>755</v>
      </c>
      <c r="H989" s="929" t="s">
        <v>1312</v>
      </c>
      <c r="I989" s="929"/>
      <c r="J989" s="929" t="s">
        <v>1319</v>
      </c>
      <c r="K989" s="929"/>
      <c r="L989" s="930" t="s">
        <v>1313</v>
      </c>
      <c r="M989" s="929" t="s">
        <v>912</v>
      </c>
      <c r="N989" s="933"/>
    </row>
    <row r="990" spans="2:14" ht="14.65" hidden="1" customHeight="1" outlineLevel="1" thickBot="1">
      <c r="B990" s="932"/>
      <c r="C990" s="896"/>
      <c r="D990" s="898"/>
      <c r="E990" s="898"/>
      <c r="F990" s="898"/>
      <c r="G990" s="898"/>
      <c r="H990" s="502" t="s">
        <v>1309</v>
      </c>
      <c r="I990" s="502" t="s">
        <v>1308</v>
      </c>
      <c r="J990" s="502" t="s">
        <v>1309</v>
      </c>
      <c r="K990" s="502" t="s">
        <v>1308</v>
      </c>
      <c r="L990" s="901"/>
      <c r="M990" s="903"/>
      <c r="N990" s="934"/>
    </row>
    <row r="991" spans="2:14" ht="14.25" hidden="1" customHeight="1" outlineLevel="1">
      <c r="B991" s="754" t="s">
        <v>1894</v>
      </c>
      <c r="C991" s="15" t="str">
        <f>IFERROR(VLOOKUP(B991,MasterSheet!$B$6:$N$150,3,),"n/a")</f>
        <v xml:space="preserve">Soda Water </v>
      </c>
      <c r="D991" s="499">
        <v>150</v>
      </c>
      <c r="E991" s="505" t="str">
        <f>IFERROR(VLOOKUP(B991,[4]MasterSheet!$B$6:$N$144,10,),"N/a")</f>
        <v>ml</v>
      </c>
      <c r="F991" s="506">
        <f>IFERROR(VLOOKUP(B991,MasterSheet!$B$6:$N$150,11,),"N/a")</f>
        <v>7</v>
      </c>
      <c r="G991" s="488">
        <f>IFERROR(D991*F991,"_")</f>
        <v>1050</v>
      </c>
      <c r="H991" s="905">
        <f>SUM(G991:G993)</f>
        <v>4883.393939393939</v>
      </c>
      <c r="I991" s="905">
        <f>SUM(G991:G994)</f>
        <v>5091.393939393939</v>
      </c>
      <c r="J991" s="491" t="e">
        <f>D991*$J$988</f>
        <v>#N/A</v>
      </c>
      <c r="K991" s="501" t="e">
        <f>D991*$K$988</f>
        <v>#N/A</v>
      </c>
      <c r="L991" s="501" t="e">
        <f>SUM(J991:K991)</f>
        <v>#N/A</v>
      </c>
      <c r="M991" s="493"/>
      <c r="N991" s="738"/>
    </row>
    <row r="992" spans="2:14" ht="14.25" hidden="1" customHeight="1" outlineLevel="1">
      <c r="B992" s="754" t="s">
        <v>1903</v>
      </c>
      <c r="C992" s="15" t="str">
        <f>IFERROR(VLOOKUP(B992,MasterSheet!$B$6:$N$150,3,),"n/a")</f>
        <v>BONALLIE LYCHEE</v>
      </c>
      <c r="D992" s="499">
        <v>30</v>
      </c>
      <c r="E992" s="505" t="str">
        <f>IFERROR(VLOOKUP(B992,[4]MasterSheet!$B$6:$N$144,10,),"N/a")</f>
        <v>ml</v>
      </c>
      <c r="F992" s="506">
        <f>IFERROR(VLOOKUP(B992,MasterSheet!$B$6:$N$150,11,),"N/a")</f>
        <v>104.64646464646464</v>
      </c>
      <c r="G992" s="488">
        <f>IFERROR(D992*F992,"_")</f>
        <v>3139.393939393939</v>
      </c>
      <c r="H992" s="905"/>
      <c r="I992" s="905"/>
      <c r="J992" s="491" t="e">
        <f t="shared" ref="J992:J994" si="251">D992*$J$988</f>
        <v>#N/A</v>
      </c>
      <c r="K992" s="501" t="e">
        <f t="shared" ref="K992:K994" si="252">D992*$K$988</f>
        <v>#N/A</v>
      </c>
      <c r="L992" s="501" t="e">
        <f>SUM(J992:K992)</f>
        <v>#N/A</v>
      </c>
      <c r="M992" s="493"/>
      <c r="N992" s="738"/>
    </row>
    <row r="993" spans="2:14" ht="14.25" hidden="1" customHeight="1" outlineLevel="1">
      <c r="B993" s="755" t="s">
        <v>1736</v>
      </c>
      <c r="C993" s="15" t="str">
        <f>IFERROR(VLOOKUP(B993,MasterSheet!$B$6:$N$521,3,),"n/a")</f>
        <v>CUP PLS #14</v>
      </c>
      <c r="D993" s="510">
        <v>1</v>
      </c>
      <c r="E993" s="505" t="str">
        <f>IFERROR(VLOOKUP(B993,[4]MasterSheet!$B$6:$N$515,10,),"N/a")</f>
        <v>ea</v>
      </c>
      <c r="F993" s="506">
        <f>IFERROR(VLOOKUP(B993,MasterSheet!$B$6:$N$521,11,),"N/a")</f>
        <v>694</v>
      </c>
      <c r="G993" s="488">
        <f t="shared" ref="G993:G994" si="253">IFERROR(D993*F993,"_")</f>
        <v>694</v>
      </c>
      <c r="H993" s="905"/>
      <c r="I993" s="905"/>
      <c r="J993" s="491" t="e">
        <f t="shared" si="251"/>
        <v>#N/A</v>
      </c>
      <c r="K993" s="501" t="e">
        <f t="shared" si="252"/>
        <v>#N/A</v>
      </c>
      <c r="L993" s="501" t="e">
        <f t="shared" ref="L993:L994" si="254">SUM(J993:K993)</f>
        <v>#N/A</v>
      </c>
      <c r="M993" s="493"/>
      <c r="N993" s="738"/>
    </row>
    <row r="994" spans="2:14" ht="14.65" hidden="1" customHeight="1" outlineLevel="1" thickBot="1">
      <c r="B994" s="753" t="s">
        <v>1743</v>
      </c>
      <c r="C994" s="28" t="str">
        <f>IFERROR(VLOOKUP(B994,MasterSheet!$B$6:$N$421,3,),"n/a")</f>
        <v>LID CUP #14 FLAT</v>
      </c>
      <c r="D994" s="533">
        <v>1</v>
      </c>
      <c r="E994" s="534" t="str">
        <f>IFERROR(VLOOKUP(B994,[4]MasterSheet!B782:N1373,10,),"N/a")</f>
        <v>N/a</v>
      </c>
      <c r="F994" s="535">
        <f>IFERROR(VLOOKUP(B994,MasterSheet!$B$6:$N$421,11,),"N/a")</f>
        <v>208</v>
      </c>
      <c r="G994" s="536">
        <f t="shared" si="253"/>
        <v>208</v>
      </c>
      <c r="H994" s="906"/>
      <c r="I994" s="906"/>
      <c r="J994" s="528" t="e">
        <f t="shared" si="251"/>
        <v>#N/A</v>
      </c>
      <c r="K994" s="529" t="e">
        <f t="shared" si="252"/>
        <v>#N/A</v>
      </c>
      <c r="L994" s="529" t="e">
        <f t="shared" si="254"/>
        <v>#N/A</v>
      </c>
      <c r="M994" s="530"/>
      <c r="N994" s="739"/>
    </row>
    <row r="995" spans="2:14" collapsed="1">
      <c r="B995" s="219" t="s">
        <v>1957</v>
      </c>
      <c r="C995" s="15" t="s">
        <v>1914</v>
      </c>
      <c r="D995" s="184">
        <f>E995*(1+$E$8)</f>
        <v>17600</v>
      </c>
      <c r="E995" s="184">
        <v>16000</v>
      </c>
      <c r="F995" s="174">
        <f>H998</f>
        <v>4883.393939393939</v>
      </c>
      <c r="G995" s="489">
        <f>I998</f>
        <v>5091.393939393939</v>
      </c>
      <c r="H995" s="500">
        <f>F995/E995</f>
        <v>0.30521212121212121</v>
      </c>
      <c r="I995" s="500">
        <f>G995/E995</f>
        <v>0.31821212121212117</v>
      </c>
      <c r="J995" s="492" t="e">
        <f>VLOOKUP(B995,'SALES MIX'!$B$82:$J$103,4)</f>
        <v>#N/A</v>
      </c>
      <c r="K995" s="477" t="e">
        <f>VLOOKUP(B995,'SALES MIX'!$B$82:$J$103,5)</f>
        <v>#N/A</v>
      </c>
      <c r="L995" s="221" t="str">
        <f>IFERROR(((F995*J995)+(G995*K995))/((J995+K995)*E995),"")</f>
        <v/>
      </c>
      <c r="M995" s="493"/>
      <c r="N995" s="493"/>
    </row>
    <row r="996" spans="2:14" ht="14.65" hidden="1" customHeight="1" outlineLevel="1" thickTop="1">
      <c r="B996" s="923" t="s">
        <v>608</v>
      </c>
      <c r="C996" s="925" t="s">
        <v>1305</v>
      </c>
      <c r="D996" s="927" t="s">
        <v>1306</v>
      </c>
      <c r="E996" s="927" t="s">
        <v>60</v>
      </c>
      <c r="F996" s="927" t="s">
        <v>615</v>
      </c>
      <c r="G996" s="927" t="s">
        <v>755</v>
      </c>
      <c r="H996" s="929" t="s">
        <v>1312</v>
      </c>
      <c r="I996" s="929"/>
      <c r="J996" s="929" t="s">
        <v>1319</v>
      </c>
      <c r="K996" s="929"/>
      <c r="L996" s="930" t="s">
        <v>1313</v>
      </c>
      <c r="M996" s="929" t="s">
        <v>912</v>
      </c>
      <c r="N996" s="933"/>
    </row>
    <row r="997" spans="2:14" ht="14.65" hidden="1" customHeight="1" outlineLevel="1" thickBot="1">
      <c r="B997" s="932"/>
      <c r="C997" s="896"/>
      <c r="D997" s="898"/>
      <c r="E997" s="898"/>
      <c r="F997" s="898"/>
      <c r="G997" s="898"/>
      <c r="H997" s="502" t="s">
        <v>1309</v>
      </c>
      <c r="I997" s="502" t="s">
        <v>1308</v>
      </c>
      <c r="J997" s="502" t="s">
        <v>1309</v>
      </c>
      <c r="K997" s="502" t="s">
        <v>1308</v>
      </c>
      <c r="L997" s="901"/>
      <c r="M997" s="903"/>
      <c r="N997" s="934"/>
    </row>
    <row r="998" spans="2:14" ht="14.25" hidden="1" customHeight="1" outlineLevel="1">
      <c r="B998" s="754" t="s">
        <v>1894</v>
      </c>
      <c r="C998" s="15" t="str">
        <f>IFERROR(VLOOKUP(B998,MasterSheet!$B$6:$N$150,3,),"n/a")</f>
        <v xml:space="preserve">Soda Water </v>
      </c>
      <c r="D998" s="499">
        <v>150</v>
      </c>
      <c r="E998" s="505" t="str">
        <f>IFERROR(VLOOKUP(B998,[4]MasterSheet!$B$6:$N$144,10,),"N/a")</f>
        <v>ml</v>
      </c>
      <c r="F998" s="506">
        <f>IFERROR(VLOOKUP(B998,MasterSheet!$B$6:$N$150,11,),"N/a")</f>
        <v>7</v>
      </c>
      <c r="G998" s="488">
        <f>IFERROR(D998*F998,"_")</f>
        <v>1050</v>
      </c>
      <c r="H998" s="905">
        <f>SUM(G998:G1000)</f>
        <v>4883.393939393939</v>
      </c>
      <c r="I998" s="905">
        <f>SUM(G998:G1001)</f>
        <v>5091.393939393939</v>
      </c>
      <c r="J998" s="491" t="e">
        <f>D998*$J$995</f>
        <v>#N/A</v>
      </c>
      <c r="K998" s="501" t="e">
        <f>D998*$K$995</f>
        <v>#N/A</v>
      </c>
      <c r="L998" s="501" t="e">
        <f>SUM(J998:K998)</f>
        <v>#N/A</v>
      </c>
      <c r="M998" s="493"/>
      <c r="N998" s="738"/>
    </row>
    <row r="999" spans="2:14" ht="14.25" hidden="1" customHeight="1" outlineLevel="1">
      <c r="B999" s="754" t="s">
        <v>1908</v>
      </c>
      <c r="C999" s="15" t="str">
        <f>IFERROR(VLOOKUP(B999,MasterSheet!$B$6:$N$150,3,),"n/a")</f>
        <v>BONALLIE MANGO</v>
      </c>
      <c r="D999" s="499">
        <v>30</v>
      </c>
      <c r="E999" s="505" t="str">
        <f>IFERROR(VLOOKUP(B999,[4]MasterSheet!$B$6:$N$144,10,),"N/a")</f>
        <v>ml</v>
      </c>
      <c r="F999" s="506">
        <f>IFERROR(VLOOKUP(B999,MasterSheet!$B$6:$N$150,11,),"N/a")</f>
        <v>104.64646464646464</v>
      </c>
      <c r="G999" s="488">
        <f>IFERROR(D999*F999,"_")</f>
        <v>3139.393939393939</v>
      </c>
      <c r="H999" s="905"/>
      <c r="I999" s="905"/>
      <c r="J999" s="491" t="e">
        <f t="shared" ref="J999:J1001" si="255">D999*$J$995</f>
        <v>#N/A</v>
      </c>
      <c r="K999" s="501" t="e">
        <f t="shared" ref="K999:K1001" si="256">D999*$K$995</f>
        <v>#N/A</v>
      </c>
      <c r="L999" s="501" t="e">
        <f>SUM(J999:K999)</f>
        <v>#N/A</v>
      </c>
      <c r="M999" s="493"/>
      <c r="N999" s="738"/>
    </row>
    <row r="1000" spans="2:14" ht="14.25" hidden="1" customHeight="1" outlineLevel="1">
      <c r="B1000" s="755" t="s">
        <v>1736</v>
      </c>
      <c r="C1000" s="15" t="str">
        <f>IFERROR(VLOOKUP(B1000,MasterSheet!$B$6:$N$521,3,),"n/a")</f>
        <v>CUP PLS #14</v>
      </c>
      <c r="D1000" s="510">
        <v>1</v>
      </c>
      <c r="E1000" s="505" t="str">
        <f>IFERROR(VLOOKUP(B1000,[4]MasterSheet!$B$6:$N$515,10,),"N/a")</f>
        <v>ea</v>
      </c>
      <c r="F1000" s="506">
        <f>IFERROR(VLOOKUP(B1000,MasterSheet!$B$6:$N$521,11,),"N/a")</f>
        <v>694</v>
      </c>
      <c r="G1000" s="488">
        <f t="shared" ref="G1000:G1001" si="257">IFERROR(D1000*F1000,"_")</f>
        <v>694</v>
      </c>
      <c r="H1000" s="905"/>
      <c r="I1000" s="905"/>
      <c r="J1000" s="491" t="e">
        <f t="shared" si="255"/>
        <v>#N/A</v>
      </c>
      <c r="K1000" s="501" t="e">
        <f t="shared" si="256"/>
        <v>#N/A</v>
      </c>
      <c r="L1000" s="501" t="e">
        <f t="shared" ref="L1000:L1001" si="258">SUM(J1000:K1000)</f>
        <v>#N/A</v>
      </c>
      <c r="M1000" s="493"/>
      <c r="N1000" s="738"/>
    </row>
    <row r="1001" spans="2:14" ht="14.65" hidden="1" customHeight="1" outlineLevel="1" thickBot="1">
      <c r="B1001" s="753" t="s">
        <v>1743</v>
      </c>
      <c r="C1001" s="28" t="str">
        <f>IFERROR(VLOOKUP(B1001,MasterSheet!$B$6:$N$421,3,),"n/a")</f>
        <v>LID CUP #14 FLAT</v>
      </c>
      <c r="D1001" s="533">
        <v>1</v>
      </c>
      <c r="E1001" s="534" t="str">
        <f>IFERROR(VLOOKUP(B1001,[4]MasterSheet!B789:N1380,10,),"N/a")</f>
        <v>N/a</v>
      </c>
      <c r="F1001" s="535">
        <f>IFERROR(VLOOKUP(B1001,MasterSheet!$B$6:$N$421,11,),"N/a")</f>
        <v>208</v>
      </c>
      <c r="G1001" s="536">
        <f t="shared" si="257"/>
        <v>208</v>
      </c>
      <c r="H1001" s="906"/>
      <c r="I1001" s="906"/>
      <c r="J1001" s="528" t="e">
        <f t="shared" si="255"/>
        <v>#N/A</v>
      </c>
      <c r="K1001" s="529" t="e">
        <f t="shared" si="256"/>
        <v>#N/A</v>
      </c>
      <c r="L1001" s="529" t="e">
        <f t="shared" si="258"/>
        <v>#N/A</v>
      </c>
      <c r="M1001" s="530"/>
      <c r="N1001" s="739"/>
    </row>
    <row r="1002" spans="2:14" collapsed="1">
      <c r="B1002" s="219" t="s">
        <v>1959</v>
      </c>
      <c r="C1002" s="15" t="s">
        <v>1912</v>
      </c>
      <c r="D1002" s="184">
        <f>E1002*(1+$E$8)</f>
        <v>17600</v>
      </c>
      <c r="E1002" s="184">
        <v>16000</v>
      </c>
      <c r="F1002" s="174">
        <f>H1005</f>
        <v>4883.393939393939</v>
      </c>
      <c r="G1002" s="489">
        <f>I1005</f>
        <v>5091.393939393939</v>
      </c>
      <c r="H1002" s="500">
        <f>F1002/E1002</f>
        <v>0.30521212121212121</v>
      </c>
      <c r="I1002" s="500">
        <f>G1002/E1002</f>
        <v>0.31821212121212117</v>
      </c>
      <c r="J1002" s="492" t="e">
        <f>VLOOKUP(B1002,'SALES MIX'!$B$82:$J$103,4)</f>
        <v>#N/A</v>
      </c>
      <c r="K1002" s="477" t="e">
        <f>VLOOKUP(B1002,'SALES MIX'!$B$82:$J$103,5)</f>
        <v>#N/A</v>
      </c>
      <c r="L1002" s="221" t="str">
        <f>IFERROR(((F1002*J1002)+(G1002*K1002))/((J1002+K1002)*E1002),"")</f>
        <v/>
      </c>
      <c r="M1002" s="493"/>
      <c r="N1002" s="493"/>
    </row>
    <row r="1003" spans="2:14" ht="14.65" hidden="1" customHeight="1" outlineLevel="1" thickTop="1">
      <c r="B1003" s="923" t="s">
        <v>608</v>
      </c>
      <c r="C1003" s="925" t="s">
        <v>1305</v>
      </c>
      <c r="D1003" s="927" t="s">
        <v>1306</v>
      </c>
      <c r="E1003" s="927" t="s">
        <v>60</v>
      </c>
      <c r="F1003" s="927" t="s">
        <v>615</v>
      </c>
      <c r="G1003" s="927" t="s">
        <v>755</v>
      </c>
      <c r="H1003" s="929" t="s">
        <v>1312</v>
      </c>
      <c r="I1003" s="929"/>
      <c r="J1003" s="929" t="s">
        <v>1319</v>
      </c>
      <c r="K1003" s="929"/>
      <c r="L1003" s="930" t="s">
        <v>1313</v>
      </c>
      <c r="M1003" s="929" t="s">
        <v>912</v>
      </c>
      <c r="N1003" s="933"/>
    </row>
    <row r="1004" spans="2:14" ht="14.65" hidden="1" customHeight="1" outlineLevel="1" thickBot="1">
      <c r="B1004" s="932"/>
      <c r="C1004" s="896"/>
      <c r="D1004" s="898"/>
      <c r="E1004" s="898"/>
      <c r="F1004" s="898"/>
      <c r="G1004" s="898"/>
      <c r="H1004" s="502" t="s">
        <v>1309</v>
      </c>
      <c r="I1004" s="502" t="s">
        <v>1308</v>
      </c>
      <c r="J1004" s="502" t="s">
        <v>1309</v>
      </c>
      <c r="K1004" s="502" t="s">
        <v>1308</v>
      </c>
      <c r="L1004" s="901"/>
      <c r="M1004" s="903"/>
      <c r="N1004" s="934"/>
    </row>
    <row r="1005" spans="2:14" ht="14.25" hidden="1" customHeight="1" outlineLevel="1">
      <c r="B1005" s="754" t="s">
        <v>1894</v>
      </c>
      <c r="C1005" s="15" t="str">
        <f>IFERROR(VLOOKUP(B1005,MasterSheet!$B$6:$N$150,3,),"n/a")</f>
        <v xml:space="preserve">Soda Water </v>
      </c>
      <c r="D1005" s="499">
        <v>150</v>
      </c>
      <c r="E1005" s="505" t="str">
        <f>IFERROR(VLOOKUP(B1005,[4]MasterSheet!$B$6:$N$144,10,),"N/a")</f>
        <v>ml</v>
      </c>
      <c r="F1005" s="506">
        <f>IFERROR(VLOOKUP(B1005,MasterSheet!$B$6:$N$150,11,),"N/a")</f>
        <v>7</v>
      </c>
      <c r="G1005" s="488">
        <f>IFERROR(D1005*F1005,"_")</f>
        <v>1050</v>
      </c>
      <c r="H1005" s="905">
        <f>SUM(G1005:G1007)</f>
        <v>4883.393939393939</v>
      </c>
      <c r="I1005" s="905">
        <f>SUM(G1005:G1008)</f>
        <v>5091.393939393939</v>
      </c>
      <c r="J1005" s="491" t="e">
        <f>D1005*$J$1002</f>
        <v>#N/A</v>
      </c>
      <c r="K1005" s="501" t="e">
        <f>D1005*$K$1002</f>
        <v>#N/A</v>
      </c>
      <c r="L1005" s="501" t="e">
        <f>SUM(J1005:K1005)</f>
        <v>#N/A</v>
      </c>
      <c r="M1005" s="493"/>
      <c r="N1005" s="738"/>
    </row>
    <row r="1006" spans="2:14" ht="14.25" hidden="1" customHeight="1" outlineLevel="1">
      <c r="B1006" s="754" t="s">
        <v>1909</v>
      </c>
      <c r="C1006" s="15" t="str">
        <f>IFERROR(VLOOKUP(B1006,MasterSheet!$B$6:$N$150,3,),"n/a")</f>
        <v>BONALLIE PEACH</v>
      </c>
      <c r="D1006" s="499">
        <v>30</v>
      </c>
      <c r="E1006" s="505" t="str">
        <f>IFERROR(VLOOKUP(B1006,[4]MasterSheet!$B$6:$N$144,10,),"N/a")</f>
        <v>ml</v>
      </c>
      <c r="F1006" s="506">
        <f>IFERROR(VLOOKUP(B1006,MasterSheet!$B$6:$N$150,11,),"N/a")</f>
        <v>104.64646464646464</v>
      </c>
      <c r="G1006" s="488">
        <f>IFERROR(D1006*F1006,"_")</f>
        <v>3139.393939393939</v>
      </c>
      <c r="H1006" s="905"/>
      <c r="I1006" s="905"/>
      <c r="J1006" s="491" t="e">
        <f t="shared" ref="J1006:J1008" si="259">D1006*$J$1002</f>
        <v>#N/A</v>
      </c>
      <c r="K1006" s="501" t="e">
        <f t="shared" ref="K1006:K1008" si="260">D1006*$K$1002</f>
        <v>#N/A</v>
      </c>
      <c r="L1006" s="501" t="e">
        <f>SUM(J1006:K1006)</f>
        <v>#N/A</v>
      </c>
      <c r="M1006" s="493"/>
      <c r="N1006" s="738"/>
    </row>
    <row r="1007" spans="2:14" ht="14.25" hidden="1" customHeight="1" outlineLevel="1">
      <c r="B1007" s="755" t="s">
        <v>1736</v>
      </c>
      <c r="C1007" s="15" t="str">
        <f>IFERROR(VLOOKUP(B1007,MasterSheet!$B$6:$N$521,3,),"n/a")</f>
        <v>CUP PLS #14</v>
      </c>
      <c r="D1007" s="510">
        <v>1</v>
      </c>
      <c r="E1007" s="505" t="str">
        <f>IFERROR(VLOOKUP(B1007,[4]MasterSheet!$B$6:$N$515,10,),"N/a")</f>
        <v>ea</v>
      </c>
      <c r="F1007" s="506">
        <f>IFERROR(VLOOKUP(B1007,MasterSheet!$B$6:$N$521,11,),"N/a")</f>
        <v>694</v>
      </c>
      <c r="G1007" s="488">
        <f t="shared" ref="G1007:G1008" si="261">IFERROR(D1007*F1007,"_")</f>
        <v>694</v>
      </c>
      <c r="H1007" s="905"/>
      <c r="I1007" s="905"/>
      <c r="J1007" s="491" t="e">
        <f t="shared" si="259"/>
        <v>#N/A</v>
      </c>
      <c r="K1007" s="501" t="e">
        <f t="shared" si="260"/>
        <v>#N/A</v>
      </c>
      <c r="L1007" s="501" t="e">
        <f t="shared" ref="L1007:L1008" si="262">SUM(J1007:K1007)</f>
        <v>#N/A</v>
      </c>
      <c r="M1007" s="493"/>
      <c r="N1007" s="738"/>
    </row>
    <row r="1008" spans="2:14" ht="14.65" hidden="1" customHeight="1" outlineLevel="1" thickBot="1">
      <c r="B1008" s="753" t="s">
        <v>1743</v>
      </c>
      <c r="C1008" s="28" t="str">
        <f>IFERROR(VLOOKUP(B1008,MasterSheet!$B$6:$N$421,3,),"n/a")</f>
        <v>LID CUP #14 FLAT</v>
      </c>
      <c r="D1008" s="533">
        <v>1</v>
      </c>
      <c r="E1008" s="534" t="str">
        <f>IFERROR(VLOOKUP(B1008,[4]MasterSheet!B796:N1387,10,),"N/a")</f>
        <v>N/a</v>
      </c>
      <c r="F1008" s="535">
        <f>IFERROR(VLOOKUP(B1008,MasterSheet!$B$6:$N$421,11,),"N/a")</f>
        <v>208</v>
      </c>
      <c r="G1008" s="536">
        <f t="shared" si="261"/>
        <v>208</v>
      </c>
      <c r="H1008" s="906"/>
      <c r="I1008" s="906"/>
      <c r="J1008" s="528" t="e">
        <f t="shared" si="259"/>
        <v>#N/A</v>
      </c>
      <c r="K1008" s="529" t="e">
        <f t="shared" si="260"/>
        <v>#N/A</v>
      </c>
      <c r="L1008" s="529" t="e">
        <f t="shared" si="262"/>
        <v>#N/A</v>
      </c>
      <c r="M1008" s="530"/>
      <c r="N1008" s="739"/>
    </row>
    <row r="1009" spans="2:14" collapsed="1">
      <c r="B1009" s="219" t="s">
        <v>1961</v>
      </c>
      <c r="C1009" s="15" t="s">
        <v>1916</v>
      </c>
      <c r="D1009" s="184">
        <f>E1009*(1+$E$8)</f>
        <v>17600</v>
      </c>
      <c r="E1009" s="184">
        <v>16000</v>
      </c>
      <c r="F1009" s="174">
        <f>H1012</f>
        <v>6501.2727272727279</v>
      </c>
      <c r="G1009" s="489">
        <f>I1012</f>
        <v>6709.2727272727279</v>
      </c>
      <c r="H1009" s="500">
        <f>F1009/E1009</f>
        <v>0.40632954545454547</v>
      </c>
      <c r="I1009" s="500">
        <f>G1009/E1009</f>
        <v>0.41932954545454548</v>
      </c>
      <c r="J1009" s="492" t="e">
        <f>VLOOKUP(B1009,'SALES MIX'!$B$82:$J$103,4)</f>
        <v>#N/A</v>
      </c>
      <c r="K1009" s="477" t="e">
        <f>VLOOKUP(B1009,'SALES MIX'!$B$82:$J$103,5)</f>
        <v>#N/A</v>
      </c>
      <c r="L1009" s="221" t="e">
        <f>((F1009*J1009)+(G1009*K1009))/((J1009+K1009)*E1009)</f>
        <v>#N/A</v>
      </c>
      <c r="M1009" s="493"/>
      <c r="N1009" s="493"/>
    </row>
    <row r="1010" spans="2:14" ht="14.65" hidden="1" customHeight="1" outlineLevel="1" thickTop="1">
      <c r="B1010" s="923" t="s">
        <v>608</v>
      </c>
      <c r="C1010" s="925" t="s">
        <v>1305</v>
      </c>
      <c r="D1010" s="927" t="s">
        <v>1306</v>
      </c>
      <c r="E1010" s="927" t="s">
        <v>60</v>
      </c>
      <c r="F1010" s="927" t="s">
        <v>615</v>
      </c>
      <c r="G1010" s="927" t="s">
        <v>755</v>
      </c>
      <c r="H1010" s="929" t="s">
        <v>1312</v>
      </c>
      <c r="I1010" s="929"/>
      <c r="J1010" s="929" t="s">
        <v>1319</v>
      </c>
      <c r="K1010" s="929"/>
      <c r="L1010" s="930" t="s">
        <v>1313</v>
      </c>
      <c r="M1010" s="929" t="s">
        <v>912</v>
      </c>
      <c r="N1010" s="933"/>
    </row>
    <row r="1011" spans="2:14" ht="14.65" hidden="1" customHeight="1" outlineLevel="1" thickBot="1">
      <c r="B1011" s="932"/>
      <c r="C1011" s="896"/>
      <c r="D1011" s="898"/>
      <c r="E1011" s="898"/>
      <c r="F1011" s="898"/>
      <c r="G1011" s="898"/>
      <c r="H1011" s="502" t="s">
        <v>1309</v>
      </c>
      <c r="I1011" s="502" t="s">
        <v>1308</v>
      </c>
      <c r="J1011" s="502" t="s">
        <v>1309</v>
      </c>
      <c r="K1011" s="502" t="s">
        <v>1308</v>
      </c>
      <c r="L1011" s="901"/>
      <c r="M1011" s="903"/>
      <c r="N1011" s="934"/>
    </row>
    <row r="1012" spans="2:14" ht="14.25" hidden="1" customHeight="1" outlineLevel="1">
      <c r="B1012" s="754" t="s">
        <v>1894</v>
      </c>
      <c r="C1012" s="15" t="str">
        <f>IFERROR(VLOOKUP(B1012,MasterSheet!$B$6:$N$150,3,),"n/a")</f>
        <v xml:space="preserve">Soda Water </v>
      </c>
      <c r="D1012" s="499">
        <v>150</v>
      </c>
      <c r="E1012" s="505" t="str">
        <f>IFERROR(VLOOKUP(B1012,[4]MasterSheet!$B$6:$N$144,10,),"N/a")</f>
        <v>ml</v>
      </c>
      <c r="F1012" s="506">
        <f>IFERROR(VLOOKUP(B1012,MasterSheet!$B$6:$N$150,11,),"N/a")</f>
        <v>7</v>
      </c>
      <c r="G1012" s="488">
        <f>IFERROR(D1012*F1012,"_")</f>
        <v>1050</v>
      </c>
      <c r="H1012" s="905">
        <f>SUM(G1012:G1014)</f>
        <v>6501.2727272727279</v>
      </c>
      <c r="I1012" s="905">
        <f>SUM(G1012:G1015)</f>
        <v>6709.2727272727279</v>
      </c>
      <c r="J1012" s="491" t="e">
        <f>D1012*$J$1009</f>
        <v>#N/A</v>
      </c>
      <c r="K1012" s="501" t="e">
        <f>D1012*$K$1009</f>
        <v>#N/A</v>
      </c>
      <c r="L1012" s="501" t="e">
        <f>SUM(J1012:K1012)</f>
        <v>#N/A</v>
      </c>
      <c r="M1012" s="493"/>
      <c r="N1012" s="738"/>
    </row>
    <row r="1013" spans="2:14" ht="14.25" hidden="1" customHeight="1" outlineLevel="1">
      <c r="B1013" s="754" t="s">
        <v>1917</v>
      </c>
      <c r="C1013" s="15" t="str">
        <f>IFERROR(VLOOKUP(B1013,MasterSheet!$B$6:$N$150,3,),"n/a")</f>
        <v>BONALLIE GRAPE</v>
      </c>
      <c r="D1013" s="499">
        <v>30</v>
      </c>
      <c r="E1013" s="505" t="str">
        <f>IFERROR(VLOOKUP(B1013,[4]MasterSheet!$B$6:$N$144,10,),"N/a")</f>
        <v>ml</v>
      </c>
      <c r="F1013" s="506">
        <f>IFERROR(VLOOKUP(B1013,MasterSheet!$B$6:$N$150,11,),"N/a")</f>
        <v>158.57575757575759</v>
      </c>
      <c r="G1013" s="488">
        <f>IFERROR(D1013*F1013,"_")</f>
        <v>4757.2727272727279</v>
      </c>
      <c r="H1013" s="905"/>
      <c r="I1013" s="905"/>
      <c r="J1013" s="491" t="e">
        <f t="shared" ref="J1013:J1015" si="263">D1013*$J$1009</f>
        <v>#N/A</v>
      </c>
      <c r="K1013" s="501" t="e">
        <f t="shared" ref="K1013:K1015" si="264">D1013*$K$1009</f>
        <v>#N/A</v>
      </c>
      <c r="L1013" s="501" t="e">
        <f>SUM(J1013:K1013)</f>
        <v>#N/A</v>
      </c>
      <c r="M1013" s="493"/>
      <c r="N1013" s="738"/>
    </row>
    <row r="1014" spans="2:14" ht="14.25" hidden="1" customHeight="1" outlineLevel="1">
      <c r="B1014" s="755" t="s">
        <v>1736</v>
      </c>
      <c r="C1014" s="15" t="str">
        <f>IFERROR(VLOOKUP(B1014,MasterSheet!$B$6:$N$521,3,),"n/a")</f>
        <v>CUP PLS #14</v>
      </c>
      <c r="D1014" s="510">
        <v>1</v>
      </c>
      <c r="E1014" s="505" t="str">
        <f>IFERROR(VLOOKUP(B1014,[4]MasterSheet!$B$6:$N$515,10,),"N/a")</f>
        <v>ea</v>
      </c>
      <c r="F1014" s="506">
        <f>IFERROR(VLOOKUP(B1014,MasterSheet!$B$6:$N$521,11,),"N/a")</f>
        <v>694</v>
      </c>
      <c r="G1014" s="488">
        <f t="shared" ref="G1014:G1015" si="265">IFERROR(D1014*F1014,"_")</f>
        <v>694</v>
      </c>
      <c r="H1014" s="905"/>
      <c r="I1014" s="905"/>
      <c r="J1014" s="491" t="e">
        <f t="shared" si="263"/>
        <v>#N/A</v>
      </c>
      <c r="K1014" s="501" t="e">
        <f t="shared" si="264"/>
        <v>#N/A</v>
      </c>
      <c r="L1014" s="501" t="e">
        <f t="shared" ref="L1014:L1015" si="266">SUM(J1014:K1014)</f>
        <v>#N/A</v>
      </c>
      <c r="M1014" s="493"/>
      <c r="N1014" s="738"/>
    </row>
    <row r="1015" spans="2:14" ht="14.65" hidden="1" customHeight="1" outlineLevel="1" thickBot="1">
      <c r="B1015" s="753" t="s">
        <v>1743</v>
      </c>
      <c r="C1015" s="28" t="str">
        <f>IFERROR(VLOOKUP(B1015,MasterSheet!$B$6:$N$421,3,),"n/a")</f>
        <v>LID CUP #14 FLAT</v>
      </c>
      <c r="D1015" s="533">
        <v>1</v>
      </c>
      <c r="E1015" s="534" t="str">
        <f>IFERROR(VLOOKUP(B1015,[4]MasterSheet!B803:N1394,10,),"N/a")</f>
        <v>N/a</v>
      </c>
      <c r="F1015" s="535">
        <f>IFERROR(VLOOKUP(B1015,MasterSheet!$B$6:$N$421,11,),"N/a")</f>
        <v>208</v>
      </c>
      <c r="G1015" s="536">
        <f t="shared" si="265"/>
        <v>208</v>
      </c>
      <c r="H1015" s="906"/>
      <c r="I1015" s="906"/>
      <c r="J1015" s="528" t="e">
        <f t="shared" si="263"/>
        <v>#N/A</v>
      </c>
      <c r="K1015" s="529" t="e">
        <f t="shared" si="264"/>
        <v>#N/A</v>
      </c>
      <c r="L1015" s="529" t="e">
        <f t="shared" si="266"/>
        <v>#N/A</v>
      </c>
      <c r="M1015" s="530"/>
      <c r="N1015" s="739"/>
    </row>
    <row r="1016" spans="2:14" collapsed="1">
      <c r="B1016" s="219" t="s">
        <v>1963</v>
      </c>
      <c r="C1016" s="15" t="s">
        <v>1919</v>
      </c>
      <c r="D1016" s="184">
        <f>E1016*(1+$E$8)</f>
        <v>17600</v>
      </c>
      <c r="E1016" s="184">
        <v>16000</v>
      </c>
      <c r="F1016" s="174">
        <f>H1019</f>
        <v>6501.2727272727279</v>
      </c>
      <c r="G1016" s="489">
        <f>I1019</f>
        <v>6709.2727272727279</v>
      </c>
      <c r="H1016" s="500">
        <f>F1016/E1016</f>
        <v>0.40632954545454547</v>
      </c>
      <c r="I1016" s="500">
        <f>G1016/E1016</f>
        <v>0.41932954545454548</v>
      </c>
      <c r="J1016" s="492" t="e">
        <f>VLOOKUP(B1016,'SALES MIX'!$B$82:$J$103,4)</f>
        <v>#N/A</v>
      </c>
      <c r="K1016" s="477" t="e">
        <f>VLOOKUP(B1016,'SALES MIX'!$B$82:$J$103,5)</f>
        <v>#N/A</v>
      </c>
      <c r="L1016" s="221" t="e">
        <f>((F1016*J1016)+(G1016*K1016))/((J1016+K1016)*E1016)</f>
        <v>#N/A</v>
      </c>
      <c r="M1016" s="493"/>
      <c r="N1016" s="493"/>
    </row>
    <row r="1017" spans="2:14" ht="14.65" hidden="1" customHeight="1" outlineLevel="1" thickTop="1">
      <c r="B1017" s="923" t="s">
        <v>608</v>
      </c>
      <c r="C1017" s="925" t="s">
        <v>1305</v>
      </c>
      <c r="D1017" s="927" t="s">
        <v>1306</v>
      </c>
      <c r="E1017" s="927" t="s">
        <v>60</v>
      </c>
      <c r="F1017" s="927" t="s">
        <v>615</v>
      </c>
      <c r="G1017" s="927" t="s">
        <v>755</v>
      </c>
      <c r="H1017" s="929" t="s">
        <v>1312</v>
      </c>
      <c r="I1017" s="929"/>
      <c r="J1017" s="929" t="s">
        <v>1319</v>
      </c>
      <c r="K1017" s="929"/>
      <c r="L1017" s="930" t="s">
        <v>1313</v>
      </c>
      <c r="M1017" s="929" t="s">
        <v>912</v>
      </c>
      <c r="N1017" s="933"/>
    </row>
    <row r="1018" spans="2:14" ht="14.65" hidden="1" customHeight="1" outlineLevel="1" thickBot="1">
      <c r="B1018" s="932"/>
      <c r="C1018" s="896"/>
      <c r="D1018" s="898"/>
      <c r="E1018" s="898"/>
      <c r="F1018" s="898"/>
      <c r="G1018" s="898"/>
      <c r="H1018" s="502" t="s">
        <v>1309</v>
      </c>
      <c r="I1018" s="502" t="s">
        <v>1308</v>
      </c>
      <c r="J1018" s="502" t="s">
        <v>1309</v>
      </c>
      <c r="K1018" s="502" t="s">
        <v>1308</v>
      </c>
      <c r="L1018" s="901"/>
      <c r="M1018" s="903"/>
      <c r="N1018" s="934"/>
    </row>
    <row r="1019" spans="2:14" ht="14.25" hidden="1" customHeight="1" outlineLevel="1">
      <c r="B1019" s="754" t="s">
        <v>1894</v>
      </c>
      <c r="C1019" s="15" t="str">
        <f>IFERROR(VLOOKUP(B1019,MasterSheet!$B$6:$N$150,3,),"n/a")</f>
        <v xml:space="preserve">Soda Water </v>
      </c>
      <c r="D1019" s="499">
        <v>150</v>
      </c>
      <c r="E1019" s="505" t="str">
        <f>IFERROR(VLOOKUP(B1019,[4]MasterSheet!$B$6:$N$144,10,),"N/a")</f>
        <v>ml</v>
      </c>
      <c r="F1019" s="506">
        <f>IFERROR(VLOOKUP(B1019,MasterSheet!$B$6:$N$150,11,),"N/a")</f>
        <v>7</v>
      </c>
      <c r="G1019" s="488">
        <f>IFERROR(D1019*F1019,"_")</f>
        <v>1050</v>
      </c>
      <c r="H1019" s="905">
        <f>SUM(G1019:G1021)</f>
        <v>6501.2727272727279</v>
      </c>
      <c r="I1019" s="905">
        <f>SUM(G1019:G1022)</f>
        <v>6709.2727272727279</v>
      </c>
      <c r="J1019" s="491" t="e">
        <f>D1019*$J$1016</f>
        <v>#N/A</v>
      </c>
      <c r="K1019" s="501" t="e">
        <f>D1019*$K$1016</f>
        <v>#N/A</v>
      </c>
      <c r="L1019" s="501" t="e">
        <f>SUM(J1019:K1019)</f>
        <v>#N/A</v>
      </c>
      <c r="M1019" s="493"/>
      <c r="N1019" s="738"/>
    </row>
    <row r="1020" spans="2:14" ht="14.25" hidden="1" customHeight="1" outlineLevel="1">
      <c r="B1020" s="754" t="s">
        <v>1920</v>
      </c>
      <c r="C1020" s="15" t="str">
        <f>IFERROR(VLOOKUP(B1020,MasterSheet!$B$6:$N$150,3,),"n/a")</f>
        <v>BONALLIE ROSE</v>
      </c>
      <c r="D1020" s="499">
        <v>30</v>
      </c>
      <c r="E1020" s="505" t="str">
        <f>IFERROR(VLOOKUP(B1020,[4]MasterSheet!$B$6:$N$144,10,),"N/a")</f>
        <v>ml</v>
      </c>
      <c r="F1020" s="506">
        <f>IFERROR(VLOOKUP(B1020,MasterSheet!$B$6:$N$150,11,),"N/a")</f>
        <v>158.57575757575759</v>
      </c>
      <c r="G1020" s="488">
        <f>IFERROR(D1020*F1020,"_")</f>
        <v>4757.2727272727279</v>
      </c>
      <c r="H1020" s="905"/>
      <c r="I1020" s="905"/>
      <c r="J1020" s="491" t="e">
        <f t="shared" ref="J1020:J1022" si="267">D1020*$J$1016</f>
        <v>#N/A</v>
      </c>
      <c r="K1020" s="501" t="e">
        <f t="shared" ref="K1020:K1022" si="268">D1020*$K$1016</f>
        <v>#N/A</v>
      </c>
      <c r="L1020" s="501" t="e">
        <f>SUM(J1020:K1020)</f>
        <v>#N/A</v>
      </c>
      <c r="M1020" s="493"/>
      <c r="N1020" s="738"/>
    </row>
    <row r="1021" spans="2:14" ht="14.25" hidden="1" customHeight="1" outlineLevel="1">
      <c r="B1021" s="755" t="s">
        <v>1736</v>
      </c>
      <c r="C1021" s="15" t="str">
        <f>IFERROR(VLOOKUP(B1021,MasterSheet!$B$6:$N$521,3,),"n/a")</f>
        <v>CUP PLS #14</v>
      </c>
      <c r="D1021" s="510">
        <v>1</v>
      </c>
      <c r="E1021" s="505" t="str">
        <f>IFERROR(VLOOKUP(B1021,[4]MasterSheet!$B$6:$N$515,10,),"N/a")</f>
        <v>ea</v>
      </c>
      <c r="F1021" s="506">
        <f>IFERROR(VLOOKUP(B1021,MasterSheet!$B$6:$N$521,11,),"N/a")</f>
        <v>694</v>
      </c>
      <c r="G1021" s="488">
        <f t="shared" ref="G1021:G1022" si="269">IFERROR(D1021*F1021,"_")</f>
        <v>694</v>
      </c>
      <c r="H1021" s="905"/>
      <c r="I1021" s="905"/>
      <c r="J1021" s="491" t="e">
        <f t="shared" si="267"/>
        <v>#N/A</v>
      </c>
      <c r="K1021" s="501" t="e">
        <f t="shared" si="268"/>
        <v>#N/A</v>
      </c>
      <c r="L1021" s="501" t="e">
        <f t="shared" ref="L1021:L1022" si="270">SUM(J1021:K1021)</f>
        <v>#N/A</v>
      </c>
      <c r="M1021" s="493"/>
      <c r="N1021" s="738"/>
    </row>
    <row r="1022" spans="2:14" ht="14.65" hidden="1" customHeight="1" outlineLevel="1" thickBot="1">
      <c r="B1022" s="753" t="s">
        <v>1743</v>
      </c>
      <c r="C1022" s="28" t="str">
        <f>IFERROR(VLOOKUP(B1022,MasterSheet!$B$6:$N$421,3,),"n/a")</f>
        <v>LID CUP #14 FLAT</v>
      </c>
      <c r="D1022" s="533">
        <v>1</v>
      </c>
      <c r="E1022" s="534" t="str">
        <f>IFERROR(VLOOKUP(B1022,[4]MasterSheet!B810:N1401,10,),"N/a")</f>
        <v>N/a</v>
      </c>
      <c r="F1022" s="535">
        <f>IFERROR(VLOOKUP(B1022,MasterSheet!$B$6:$N$421,11,),"N/a")</f>
        <v>208</v>
      </c>
      <c r="G1022" s="536">
        <f t="shared" si="269"/>
        <v>208</v>
      </c>
      <c r="H1022" s="906"/>
      <c r="I1022" s="906"/>
      <c r="J1022" s="528" t="e">
        <f t="shared" si="267"/>
        <v>#N/A</v>
      </c>
      <c r="K1022" s="529" t="e">
        <f t="shared" si="268"/>
        <v>#N/A</v>
      </c>
      <c r="L1022" s="529" t="e">
        <f t="shared" si="270"/>
        <v>#N/A</v>
      </c>
      <c r="M1022" s="530"/>
      <c r="N1022" s="739"/>
    </row>
    <row r="1023" spans="2:14" collapsed="1">
      <c r="B1023" s="219" t="s">
        <v>1965</v>
      </c>
      <c r="C1023" s="15" t="s">
        <v>1922</v>
      </c>
      <c r="D1023" s="184">
        <f>E1023*(1+$E$8)</f>
        <v>22000</v>
      </c>
      <c r="E1023" s="184">
        <v>20000</v>
      </c>
      <c r="F1023" s="174">
        <f>H1026</f>
        <v>7611.1923076923067</v>
      </c>
      <c r="G1023" s="489">
        <f>I1026</f>
        <v>7819.1923076923067</v>
      </c>
      <c r="H1023" s="500">
        <f>F1023/E1023</f>
        <v>0.38055961538461536</v>
      </c>
      <c r="I1023" s="500">
        <f>G1023/E1023</f>
        <v>0.39095961538461532</v>
      </c>
      <c r="J1023" s="492" t="e">
        <f>VLOOKUP(B1023,'SALES MIX'!$B$82:$J$103,4)</f>
        <v>#N/A</v>
      </c>
      <c r="K1023" s="477" t="e">
        <f>VLOOKUP(B1023,'SALES MIX'!$B$82:$J$103,5)</f>
        <v>#N/A</v>
      </c>
      <c r="L1023" s="221" t="e">
        <f>((F1023*J1023)+(G1023*K1023))/((J1023+K1023)*E1023)</f>
        <v>#N/A</v>
      </c>
      <c r="M1023" s="493"/>
      <c r="N1023" s="493"/>
    </row>
    <row r="1024" spans="2:14" ht="14.65" hidden="1" customHeight="1" outlineLevel="1" thickTop="1">
      <c r="B1024" s="923" t="s">
        <v>608</v>
      </c>
      <c r="C1024" s="925" t="s">
        <v>1305</v>
      </c>
      <c r="D1024" s="927" t="s">
        <v>1306</v>
      </c>
      <c r="E1024" s="927" t="s">
        <v>60</v>
      </c>
      <c r="F1024" s="927" t="s">
        <v>615</v>
      </c>
      <c r="G1024" s="927" t="s">
        <v>755</v>
      </c>
      <c r="H1024" s="929" t="s">
        <v>1312</v>
      </c>
      <c r="I1024" s="929"/>
      <c r="J1024" s="929" t="s">
        <v>1319</v>
      </c>
      <c r="K1024" s="929"/>
      <c r="L1024" s="930" t="s">
        <v>1313</v>
      </c>
      <c r="M1024" s="929" t="s">
        <v>912</v>
      </c>
      <c r="N1024" s="933"/>
    </row>
    <row r="1025" spans="2:14" ht="14.65" hidden="1" customHeight="1" outlineLevel="1" thickBot="1">
      <c r="B1025" s="932"/>
      <c r="C1025" s="896"/>
      <c r="D1025" s="898"/>
      <c r="E1025" s="898"/>
      <c r="F1025" s="898"/>
      <c r="G1025" s="898"/>
      <c r="H1025" s="502" t="s">
        <v>1309</v>
      </c>
      <c r="I1025" s="502" t="s">
        <v>1308</v>
      </c>
      <c r="J1025" s="502" t="s">
        <v>1309</v>
      </c>
      <c r="K1025" s="502" t="s">
        <v>1308</v>
      </c>
      <c r="L1025" s="901"/>
      <c r="M1025" s="903"/>
      <c r="N1025" s="934"/>
    </row>
    <row r="1026" spans="2:14" ht="14.25" hidden="1" customHeight="1" outlineLevel="1">
      <c r="B1026" s="754" t="s">
        <v>1923</v>
      </c>
      <c r="C1026" s="15" t="str">
        <f>IFERROR(VLOOKUP(B1026,MasterSheet!$B$6:$N$150,3,),"n/a")</f>
        <v xml:space="preserve">CHILLED RICH DOUBLE CREAM </v>
      </c>
      <c r="D1026" s="499">
        <v>100</v>
      </c>
      <c r="E1026" s="505" t="str">
        <f>IFERROR(VLOOKUP(B1026,[4]MasterSheet!$B$6:$N$144,10,),"N/a")</f>
        <v>g</v>
      </c>
      <c r="F1026" s="506">
        <f>IFERROR(VLOOKUP(B1026,MasterSheet!$B$6:$N$150,11,),"N/a")</f>
        <v>68.819999999999993</v>
      </c>
      <c r="G1026" s="488">
        <f>IFERROR(D1026*F1026,"_")</f>
        <v>6881.9999999999991</v>
      </c>
      <c r="H1026" s="905">
        <f>SUM(G1026:G1028)</f>
        <v>7611.1923076923067</v>
      </c>
      <c r="I1026" s="905">
        <f>SUM(G1026:G1029)</f>
        <v>7819.1923076923067</v>
      </c>
      <c r="J1026" s="491" t="e">
        <f>D1026*$J$1023</f>
        <v>#N/A</v>
      </c>
      <c r="K1026" s="501" t="e">
        <f>D1026*$K$1023</f>
        <v>#N/A</v>
      </c>
      <c r="L1026" s="501" t="e">
        <f>SUM(J1026:K1026)</f>
        <v>#N/A</v>
      </c>
      <c r="M1026" s="493"/>
      <c r="N1026" s="738"/>
    </row>
    <row r="1027" spans="2:14" ht="14.25" hidden="1" customHeight="1" outlineLevel="1">
      <c r="B1027" s="754" t="s">
        <v>1924</v>
      </c>
      <c r="C1027" s="15" t="str">
        <f>IFERROR(VLOOKUP(B1027,MasterSheet!$B$6:$N$150,3,),"n/a")</f>
        <v>YAKULT ORIGINAL</v>
      </c>
      <c r="D1027" s="499">
        <v>1</v>
      </c>
      <c r="E1027" s="505" t="str">
        <f>IFERROR(VLOOKUP(B1027,[4]MasterSheet!$B$6:$N$144,10,),"N/a")</f>
        <v>ml</v>
      </c>
      <c r="F1027" s="506">
        <f>IFERROR(VLOOKUP(B1027,MasterSheet!$B$6:$N$150,11,),"N/a")</f>
        <v>35.192307692307693</v>
      </c>
      <c r="G1027" s="488">
        <f>IFERROR(D1027*F1027,"_")</f>
        <v>35.192307692307693</v>
      </c>
      <c r="H1027" s="905"/>
      <c r="I1027" s="905"/>
      <c r="J1027" s="491" t="e">
        <f t="shared" ref="J1027:J1029" si="271">D1027*$J$1023</f>
        <v>#N/A</v>
      </c>
      <c r="K1027" s="501" t="e">
        <f t="shared" ref="K1027:K1029" si="272">D1027*$K$1023</f>
        <v>#N/A</v>
      </c>
      <c r="L1027" s="501" t="e">
        <f>SUM(J1027:K1027)</f>
        <v>#N/A</v>
      </c>
      <c r="M1027" s="493"/>
      <c r="N1027" s="738"/>
    </row>
    <row r="1028" spans="2:14" ht="14.25" hidden="1" customHeight="1" outlineLevel="1">
      <c r="B1028" s="755" t="s">
        <v>1736</v>
      </c>
      <c r="C1028" s="15" t="str">
        <f>IFERROR(VLOOKUP(B1028,MasterSheet!$B$6:$N$521,3,),"n/a")</f>
        <v>CUP PLS #14</v>
      </c>
      <c r="D1028" s="510">
        <v>1</v>
      </c>
      <c r="E1028" s="505" t="str">
        <f>IFERROR(VLOOKUP(B1028,[4]MasterSheet!$B$6:$N$515,10,),"N/a")</f>
        <v>ea</v>
      </c>
      <c r="F1028" s="506">
        <f>IFERROR(VLOOKUP(B1028,MasterSheet!$B$6:$N$521,11,),"N/a")</f>
        <v>694</v>
      </c>
      <c r="G1028" s="488">
        <f t="shared" ref="G1028:G1029" si="273">IFERROR(D1028*F1028,"_")</f>
        <v>694</v>
      </c>
      <c r="H1028" s="905"/>
      <c r="I1028" s="905"/>
      <c r="J1028" s="491" t="e">
        <f t="shared" si="271"/>
        <v>#N/A</v>
      </c>
      <c r="K1028" s="501" t="e">
        <f t="shared" si="272"/>
        <v>#N/A</v>
      </c>
      <c r="L1028" s="501" t="e">
        <f t="shared" ref="L1028:L1029" si="274">SUM(J1028:K1028)</f>
        <v>#N/A</v>
      </c>
      <c r="M1028" s="493"/>
      <c r="N1028" s="738"/>
    </row>
    <row r="1029" spans="2:14" ht="14.65" hidden="1" customHeight="1" outlineLevel="1" thickBot="1">
      <c r="B1029" s="753" t="s">
        <v>1743</v>
      </c>
      <c r="C1029" s="28" t="str">
        <f>IFERROR(VLOOKUP(B1029,MasterSheet!$B$6:$N$421,3,),"n/a")</f>
        <v>LID CUP #14 FLAT</v>
      </c>
      <c r="D1029" s="533">
        <v>1</v>
      </c>
      <c r="E1029" s="534" t="str">
        <f>IFERROR(VLOOKUP(B1029,[4]MasterSheet!B817:N1408,10,),"N/a")</f>
        <v>N/a</v>
      </c>
      <c r="F1029" s="535">
        <f>IFERROR(VLOOKUP(B1029,MasterSheet!$B$6:$N$421,11,),"N/a")</f>
        <v>208</v>
      </c>
      <c r="G1029" s="536">
        <f t="shared" si="273"/>
        <v>208</v>
      </c>
      <c r="H1029" s="906"/>
      <c r="I1029" s="906"/>
      <c r="J1029" s="528" t="e">
        <f t="shared" si="271"/>
        <v>#N/A</v>
      </c>
      <c r="K1029" s="529" t="e">
        <f t="shared" si="272"/>
        <v>#N/A</v>
      </c>
      <c r="L1029" s="529" t="e">
        <f t="shared" si="274"/>
        <v>#N/A</v>
      </c>
      <c r="M1029" s="530"/>
      <c r="N1029" s="739"/>
    </row>
    <row r="1030" spans="2:14" collapsed="1">
      <c r="B1030" s="219" t="s">
        <v>1967</v>
      </c>
      <c r="C1030" s="15" t="s">
        <v>1927</v>
      </c>
      <c r="D1030" s="184">
        <f>E1030*(1+$E$8)</f>
        <v>16500</v>
      </c>
      <c r="E1030" s="184">
        <v>15000</v>
      </c>
      <c r="F1030" s="174">
        <f>H1033</f>
        <v>2553</v>
      </c>
      <c r="G1030" s="489">
        <f>I1033</f>
        <v>2853</v>
      </c>
      <c r="H1030" s="500">
        <f>F1030/E1030</f>
        <v>0.17019999999999999</v>
      </c>
      <c r="I1030" s="500">
        <f>G1030/E1030</f>
        <v>0.19020000000000001</v>
      </c>
      <c r="J1030" s="492" t="e">
        <f>VLOOKUP(B1030,'SALES MIX'!$B$82:$J$103,4)</f>
        <v>#N/A</v>
      </c>
      <c r="K1030" s="477" t="e">
        <f>VLOOKUP(B1030,'SALES MIX'!$B$82:$J$103,5)</f>
        <v>#N/A</v>
      </c>
      <c r="L1030" s="221" t="str">
        <f>IFERROR(((F1030*J1030)+(G1030*K1030))/((J1030+K1030)*E1030),"")</f>
        <v/>
      </c>
      <c r="M1030" s="493"/>
      <c r="N1030" s="493"/>
    </row>
    <row r="1031" spans="2:14" ht="14.65" hidden="1" customHeight="1" outlineLevel="1" thickTop="1">
      <c r="B1031" s="923" t="s">
        <v>608</v>
      </c>
      <c r="C1031" s="925" t="s">
        <v>1305</v>
      </c>
      <c r="D1031" s="927" t="s">
        <v>1306</v>
      </c>
      <c r="E1031" s="927" t="s">
        <v>60</v>
      </c>
      <c r="F1031" s="927" t="s">
        <v>615</v>
      </c>
      <c r="G1031" s="927" t="s">
        <v>755</v>
      </c>
      <c r="H1031" s="929" t="s">
        <v>1312</v>
      </c>
      <c r="I1031" s="929"/>
      <c r="J1031" s="929" t="s">
        <v>1319</v>
      </c>
      <c r="K1031" s="929"/>
      <c r="L1031" s="930" t="s">
        <v>1313</v>
      </c>
      <c r="M1031" s="929" t="s">
        <v>912</v>
      </c>
      <c r="N1031" s="933"/>
    </row>
    <row r="1032" spans="2:14" ht="14.65" hidden="1" customHeight="1" outlineLevel="1" thickBot="1">
      <c r="B1032" s="932"/>
      <c r="C1032" s="896"/>
      <c r="D1032" s="898"/>
      <c r="E1032" s="898"/>
      <c r="F1032" s="898"/>
      <c r="G1032" s="898"/>
      <c r="H1032" s="502" t="s">
        <v>1309</v>
      </c>
      <c r="I1032" s="502" t="s">
        <v>1308</v>
      </c>
      <c r="J1032" s="502" t="s">
        <v>1309</v>
      </c>
      <c r="K1032" s="502" t="s">
        <v>1308</v>
      </c>
      <c r="L1032" s="901"/>
      <c r="M1032" s="903"/>
      <c r="N1032" s="934"/>
    </row>
    <row r="1033" spans="2:14" ht="14.25" hidden="1" customHeight="1" outlineLevel="1">
      <c r="B1033" s="754" t="s">
        <v>1925</v>
      </c>
      <c r="C1033" s="15" t="str">
        <f>IFERROR(VLOOKUP(B1033,MasterSheet!$B$6:$N$150,3,),"n/a")</f>
        <v xml:space="preserve">Purified Water </v>
      </c>
      <c r="D1033" s="499">
        <v>170</v>
      </c>
      <c r="E1033" s="505" t="str">
        <f>IFERROR(VLOOKUP(B1033,[4]MasterSheet!$B$6:$N$144,10,),"N/a")</f>
        <v>g</v>
      </c>
      <c r="F1033" s="506" t="str">
        <f>IFERROR(VLOOKUP(B1033,MasterSheet!$B$6:$N$150,11,),"N/a")</f>
        <v>-</v>
      </c>
      <c r="G1033" s="488" t="str">
        <f>IFERROR(D1033*F1033,"_")</f>
        <v>_</v>
      </c>
      <c r="H1033" s="905">
        <f>SUM(G1033:G1035)</f>
        <v>2553</v>
      </c>
      <c r="I1033" s="905">
        <f>SUM(G1033:G1036)</f>
        <v>2853</v>
      </c>
      <c r="J1033" s="491" t="e">
        <f>D1033*$J$1030</f>
        <v>#N/A</v>
      </c>
      <c r="K1033" s="501" t="e">
        <f>D1033*$K$1030</f>
        <v>#N/A</v>
      </c>
      <c r="L1033" s="501" t="e">
        <f>SUM(J1033:K1033)</f>
        <v>#N/A</v>
      </c>
      <c r="M1033" s="493"/>
      <c r="N1033" s="738"/>
    </row>
    <row r="1034" spans="2:14" ht="14.25" hidden="1" customHeight="1" outlineLevel="1">
      <c r="B1034" s="754" t="s">
        <v>1928</v>
      </c>
      <c r="C1034" s="15" t="str">
        <f>IFERROR(VLOOKUP(B1034,MasterSheet!$B$6:$N$150,3,),"n/a")</f>
        <v>NESCAFE CLASIC</v>
      </c>
      <c r="D1034" s="499">
        <v>3</v>
      </c>
      <c r="E1034" s="505" t="str">
        <f>IFERROR(VLOOKUP(B1034,[4]MasterSheet!$B$6:$N$144,10,),"N/a")</f>
        <v>g</v>
      </c>
      <c r="F1034" s="506">
        <f>IFERROR(VLOOKUP(B1034,MasterSheet!$B$6:$N$150,11,),"N/a")</f>
        <v>375</v>
      </c>
      <c r="G1034" s="488">
        <f>IFERROR(D1034*F1034,"_")</f>
        <v>1125</v>
      </c>
      <c r="H1034" s="905"/>
      <c r="I1034" s="905"/>
      <c r="J1034" s="491" t="e">
        <f t="shared" ref="J1034:J1036" si="275">D1034*$J$1030</f>
        <v>#N/A</v>
      </c>
      <c r="K1034" s="501" t="e">
        <f t="shared" ref="K1034:K1036" si="276">D1034*$K$1030</f>
        <v>#N/A</v>
      </c>
      <c r="L1034" s="501" t="e">
        <f>SUM(J1034:K1034)</f>
        <v>#N/A</v>
      </c>
      <c r="M1034" s="493"/>
      <c r="N1034" s="738"/>
    </row>
    <row r="1035" spans="2:14" ht="14.25" hidden="1" customHeight="1" outlineLevel="1">
      <c r="B1035" s="755" t="s">
        <v>1214</v>
      </c>
      <c r="C1035" s="15" t="str">
        <f>IFERROR(VLOOKUP(B1035,MasterSheet!$B$6:$N$521,3,),"n/a")</f>
        <v>CUP PAPER #8 (Coffee)</v>
      </c>
      <c r="D1035" s="510">
        <v>1</v>
      </c>
      <c r="E1035" s="505" t="str">
        <f>IFERROR(VLOOKUP(B1035,[4]MasterSheet!$B$6:$N$515,10,),"N/a")</f>
        <v>ea</v>
      </c>
      <c r="F1035" s="506">
        <f>IFERROR(VLOOKUP(B1035,MasterSheet!$B$6:$N$521,11,),"N/a")</f>
        <v>1428</v>
      </c>
      <c r="G1035" s="488">
        <f t="shared" ref="G1035:G1036" si="277">IFERROR(D1035*F1035,"_")</f>
        <v>1428</v>
      </c>
      <c r="H1035" s="905"/>
      <c r="I1035" s="905"/>
      <c r="J1035" s="491" t="e">
        <f t="shared" si="275"/>
        <v>#N/A</v>
      </c>
      <c r="K1035" s="501" t="e">
        <f t="shared" si="276"/>
        <v>#N/A</v>
      </c>
      <c r="L1035" s="501" t="e">
        <f t="shared" ref="L1035:L1036" si="278">SUM(J1035:K1035)</f>
        <v>#N/A</v>
      </c>
      <c r="M1035" s="493"/>
      <c r="N1035" s="738"/>
    </row>
    <row r="1036" spans="2:14" ht="14.65" hidden="1" customHeight="1" outlineLevel="1" thickBot="1">
      <c r="B1036" s="753" t="s">
        <v>1217</v>
      </c>
      <c r="C1036" s="28" t="str">
        <f>IFERROR(VLOOKUP(B1036,MasterSheet!$B$6:$N$421,3,),"n/a")</f>
        <v>Lid Hot Cup Flip (8oz)</v>
      </c>
      <c r="D1036" s="533">
        <v>1</v>
      </c>
      <c r="E1036" s="534" t="str">
        <f>IFERROR(VLOOKUP(B1036,[4]MasterSheet!B824:N1415,10,),"N/a")</f>
        <v>N/a</v>
      </c>
      <c r="F1036" s="535">
        <f>IFERROR(VLOOKUP(B1036,MasterSheet!$B$6:$N$421,11,),"N/a")</f>
        <v>300</v>
      </c>
      <c r="G1036" s="536">
        <f t="shared" si="277"/>
        <v>300</v>
      </c>
      <c r="H1036" s="906"/>
      <c r="I1036" s="906"/>
      <c r="J1036" s="528" t="e">
        <f t="shared" si="275"/>
        <v>#N/A</v>
      </c>
      <c r="K1036" s="529" t="e">
        <f t="shared" si="276"/>
        <v>#N/A</v>
      </c>
      <c r="L1036" s="529" t="e">
        <f t="shared" si="278"/>
        <v>#N/A</v>
      </c>
      <c r="M1036" s="530"/>
      <c r="N1036" s="739"/>
    </row>
    <row r="1037" spans="2:14" collapsed="1">
      <c r="B1037" s="219" t="s">
        <v>1969</v>
      </c>
      <c r="C1037" s="15" t="s">
        <v>1927</v>
      </c>
      <c r="D1037" s="184">
        <f>E1037*(1+$E$8)</f>
        <v>16500</v>
      </c>
      <c r="E1037" s="184">
        <v>15000</v>
      </c>
      <c r="F1037" s="174">
        <f>H1040</f>
        <v>5046</v>
      </c>
      <c r="G1037" s="489">
        <f>I1040</f>
        <v>5346</v>
      </c>
      <c r="H1037" s="500">
        <f>F1037/E1037</f>
        <v>0.33639999999999998</v>
      </c>
      <c r="I1037" s="500">
        <f>G1037/E1037</f>
        <v>0.35639999999999999</v>
      </c>
      <c r="J1037" s="492" t="e">
        <f>VLOOKUP(B1037,'SALES MIX'!$B$82:$J$103,4)</f>
        <v>#N/A</v>
      </c>
      <c r="K1037" s="477" t="e">
        <f>VLOOKUP(B1037,'SALES MIX'!$B$82:$J$103,5)</f>
        <v>#N/A</v>
      </c>
      <c r="L1037" s="221" t="str">
        <f>IFERROR(((F1037*J1037)+(G1037*K1037))/((J1037+K1037)*E1037),"")</f>
        <v/>
      </c>
      <c r="M1037" s="493"/>
      <c r="N1037" s="493"/>
    </row>
    <row r="1038" spans="2:14" ht="14.65" hidden="1" customHeight="1" outlineLevel="1" thickTop="1">
      <c r="B1038" s="923" t="s">
        <v>608</v>
      </c>
      <c r="C1038" s="925" t="s">
        <v>1305</v>
      </c>
      <c r="D1038" s="927" t="s">
        <v>1306</v>
      </c>
      <c r="E1038" s="927" t="s">
        <v>60</v>
      </c>
      <c r="F1038" s="927" t="s">
        <v>615</v>
      </c>
      <c r="G1038" s="927" t="s">
        <v>755</v>
      </c>
      <c r="H1038" s="929" t="s">
        <v>1312</v>
      </c>
      <c r="I1038" s="929"/>
      <c r="J1038" s="929" t="s">
        <v>1319</v>
      </c>
      <c r="K1038" s="929"/>
      <c r="L1038" s="930" t="s">
        <v>1313</v>
      </c>
      <c r="M1038" s="929" t="s">
        <v>912</v>
      </c>
      <c r="N1038" s="933"/>
    </row>
    <row r="1039" spans="2:14" ht="14.65" hidden="1" customHeight="1" outlineLevel="1" thickBot="1">
      <c r="B1039" s="932"/>
      <c r="C1039" s="896"/>
      <c r="D1039" s="898"/>
      <c r="E1039" s="898"/>
      <c r="F1039" s="898"/>
      <c r="G1039" s="898"/>
      <c r="H1039" s="502" t="s">
        <v>1309</v>
      </c>
      <c r="I1039" s="502" t="s">
        <v>1308</v>
      </c>
      <c r="J1039" s="502" t="s">
        <v>1309</v>
      </c>
      <c r="K1039" s="502" t="s">
        <v>1308</v>
      </c>
      <c r="L1039" s="901"/>
      <c r="M1039" s="903"/>
      <c r="N1039" s="934"/>
    </row>
    <row r="1040" spans="2:14" ht="14.25" hidden="1" customHeight="1" outlineLevel="1">
      <c r="B1040" s="754" t="s">
        <v>1925</v>
      </c>
      <c r="C1040" s="15" t="str">
        <f>IFERROR(VLOOKUP(B1040,MasterSheet!$B$6:$N$150,3,),"n/a")</f>
        <v xml:space="preserve">Purified Water </v>
      </c>
      <c r="D1040" s="499">
        <v>170</v>
      </c>
      <c r="E1040" s="505" t="str">
        <f>IFERROR(VLOOKUP(B1040,[4]MasterSheet!$B$6:$N$144,10,),"N/a")</f>
        <v>g</v>
      </c>
      <c r="F1040" s="506" t="str">
        <f>IFERROR(VLOOKUP(B1040,MasterSheet!$B$6:$N$150,11,),"N/a")</f>
        <v>-</v>
      </c>
      <c r="G1040" s="488" t="str">
        <f>IFERROR(D1040*F1040,"_")</f>
        <v>_</v>
      </c>
      <c r="H1040" s="905">
        <f>SUM(G1040:G1042)</f>
        <v>5046</v>
      </c>
      <c r="I1040" s="905">
        <f>SUM(G1040:G1043)</f>
        <v>5346</v>
      </c>
      <c r="J1040" s="491" t="e">
        <f>D1040*$J$1037</f>
        <v>#N/A</v>
      </c>
      <c r="K1040" s="501" t="e">
        <f>D1040*$K$1037</f>
        <v>#N/A</v>
      </c>
      <c r="L1040" s="501" t="e">
        <f>SUM(J1040:K1040)</f>
        <v>#N/A</v>
      </c>
      <c r="M1040" s="493"/>
      <c r="N1040" s="738"/>
    </row>
    <row r="1041" spans="2:14" ht="14.25" hidden="1" customHeight="1" outlineLevel="1">
      <c r="B1041" s="754" t="s">
        <v>1929</v>
      </c>
      <c r="C1041" s="15" t="str">
        <f>IFERROR(VLOOKUP(B1041,MasterSheet!$B$6:$N$150,3,),"n/a")</f>
        <v>NESCAFE LATTE</v>
      </c>
      <c r="D1041" s="499">
        <v>30</v>
      </c>
      <c r="E1041" s="505" t="str">
        <f>IFERROR(VLOOKUP(B1041,[4]MasterSheet!$B$6:$N$144,10,),"N/a")</f>
        <v>g</v>
      </c>
      <c r="F1041" s="506">
        <f>IFERROR(VLOOKUP(B1041,MasterSheet!$B$6:$N$150,11,),"N/a")</f>
        <v>120.6</v>
      </c>
      <c r="G1041" s="488">
        <f>IFERROR(D1041*F1041,"_")</f>
        <v>3618</v>
      </c>
      <c r="H1041" s="905"/>
      <c r="I1041" s="905"/>
      <c r="J1041" s="491" t="e">
        <f t="shared" ref="J1041:J1043" si="279">D1041*$J$1037</f>
        <v>#N/A</v>
      </c>
      <c r="K1041" s="501" t="e">
        <f t="shared" ref="K1041:K1043" si="280">D1041*$K$1037</f>
        <v>#N/A</v>
      </c>
      <c r="L1041" s="501" t="e">
        <f>SUM(J1041:K1041)</f>
        <v>#N/A</v>
      </c>
      <c r="M1041" s="493"/>
      <c r="N1041" s="738"/>
    </row>
    <row r="1042" spans="2:14" ht="14.25" hidden="1" customHeight="1" outlineLevel="1">
      <c r="B1042" s="755" t="s">
        <v>1214</v>
      </c>
      <c r="C1042" s="15" t="str">
        <f>IFERROR(VLOOKUP(B1042,MasterSheet!$B$6:$N$521,3,),"n/a")</f>
        <v>CUP PAPER #8 (Coffee)</v>
      </c>
      <c r="D1042" s="510">
        <v>1</v>
      </c>
      <c r="E1042" s="505" t="str">
        <f>IFERROR(VLOOKUP(B1042,[4]MasterSheet!$B$6:$N$515,10,),"N/a")</f>
        <v>ea</v>
      </c>
      <c r="F1042" s="506">
        <f>IFERROR(VLOOKUP(B1042,MasterSheet!$B$6:$N$521,11,),"N/a")</f>
        <v>1428</v>
      </c>
      <c r="G1042" s="488">
        <f t="shared" ref="G1042:G1043" si="281">IFERROR(D1042*F1042,"_")</f>
        <v>1428</v>
      </c>
      <c r="H1042" s="905"/>
      <c r="I1042" s="905"/>
      <c r="J1042" s="491" t="e">
        <f t="shared" si="279"/>
        <v>#N/A</v>
      </c>
      <c r="K1042" s="501" t="e">
        <f t="shared" si="280"/>
        <v>#N/A</v>
      </c>
      <c r="L1042" s="501" t="e">
        <f t="shared" ref="L1042:L1043" si="282">SUM(J1042:K1042)</f>
        <v>#N/A</v>
      </c>
      <c r="M1042" s="493"/>
      <c r="N1042" s="738"/>
    </row>
    <row r="1043" spans="2:14" ht="14.65" hidden="1" customHeight="1" outlineLevel="1" thickBot="1">
      <c r="B1043" s="753" t="s">
        <v>1217</v>
      </c>
      <c r="C1043" s="28" t="str">
        <f>IFERROR(VLOOKUP(B1043,MasterSheet!$B$6:$N$421,3,),"n/a")</f>
        <v>Lid Hot Cup Flip (8oz)</v>
      </c>
      <c r="D1043" s="533">
        <v>1</v>
      </c>
      <c r="E1043" s="534" t="str">
        <f>IFERROR(VLOOKUP(B1043,[4]MasterSheet!B831:N1422,10,),"N/a")</f>
        <v>N/a</v>
      </c>
      <c r="F1043" s="535">
        <f>IFERROR(VLOOKUP(B1043,MasterSheet!$B$6:$N$421,11,),"N/a")</f>
        <v>300</v>
      </c>
      <c r="G1043" s="536">
        <f t="shared" si="281"/>
        <v>300</v>
      </c>
      <c r="H1043" s="906"/>
      <c r="I1043" s="906"/>
      <c r="J1043" s="528" t="e">
        <f t="shared" si="279"/>
        <v>#N/A</v>
      </c>
      <c r="K1043" s="529" t="e">
        <f t="shared" si="280"/>
        <v>#N/A</v>
      </c>
      <c r="L1043" s="529" t="e">
        <f t="shared" si="282"/>
        <v>#N/A</v>
      </c>
      <c r="M1043" s="530"/>
      <c r="N1043" s="739"/>
    </row>
    <row r="1044" spans="2:14" collapsed="1">
      <c r="B1044" s="219" t="s">
        <v>1971</v>
      </c>
      <c r="C1044" s="15" t="s">
        <v>1931</v>
      </c>
      <c r="D1044" s="184">
        <f>E1044*(1+$E$8)</f>
        <v>16500</v>
      </c>
      <c r="E1044" s="184">
        <v>15000</v>
      </c>
      <c r="F1044" s="174">
        <f>H1047</f>
        <v>3319</v>
      </c>
      <c r="G1044" s="489">
        <f>I1047</f>
        <v>3527</v>
      </c>
      <c r="H1044" s="500">
        <f>F1044/E1044</f>
        <v>0.22126666666666667</v>
      </c>
      <c r="I1044" s="500">
        <f>G1044/E1044</f>
        <v>0.23513333333333333</v>
      </c>
      <c r="J1044" s="492" t="e">
        <f>VLOOKUP(B1044,'SALES MIX'!$B$82:$J$103,4)</f>
        <v>#N/A</v>
      </c>
      <c r="K1044" s="477" t="e">
        <f>VLOOKUP(B1044,'SALES MIX'!$B$82:$J$103,5)</f>
        <v>#N/A</v>
      </c>
      <c r="L1044" s="221" t="e">
        <f>((F1044*J1044)+(G1044*K1044))/((J1044+K1044)*E1044)</f>
        <v>#N/A</v>
      </c>
      <c r="M1044" s="493"/>
      <c r="N1044" s="493"/>
    </row>
    <row r="1045" spans="2:14" ht="14.65" hidden="1" customHeight="1" outlineLevel="1" thickTop="1">
      <c r="B1045" s="923" t="s">
        <v>608</v>
      </c>
      <c r="C1045" s="925" t="s">
        <v>1305</v>
      </c>
      <c r="D1045" s="927" t="s">
        <v>1306</v>
      </c>
      <c r="E1045" s="927" t="s">
        <v>60</v>
      </c>
      <c r="F1045" s="927" t="s">
        <v>615</v>
      </c>
      <c r="G1045" s="927" t="s">
        <v>755</v>
      </c>
      <c r="H1045" s="929" t="s">
        <v>1312</v>
      </c>
      <c r="I1045" s="929"/>
      <c r="J1045" s="929" t="s">
        <v>1319</v>
      </c>
      <c r="K1045" s="929"/>
      <c r="L1045" s="930" t="s">
        <v>1313</v>
      </c>
      <c r="M1045" s="929" t="s">
        <v>912</v>
      </c>
      <c r="N1045" s="933"/>
    </row>
    <row r="1046" spans="2:14" ht="14.65" hidden="1" customHeight="1" outlineLevel="1" thickBot="1">
      <c r="B1046" s="932"/>
      <c r="C1046" s="896"/>
      <c r="D1046" s="898"/>
      <c r="E1046" s="898"/>
      <c r="F1046" s="898"/>
      <c r="G1046" s="898"/>
      <c r="H1046" s="502" t="s">
        <v>1309</v>
      </c>
      <c r="I1046" s="502" t="s">
        <v>1308</v>
      </c>
      <c r="J1046" s="502" t="s">
        <v>1309</v>
      </c>
      <c r="K1046" s="502" t="s">
        <v>1308</v>
      </c>
      <c r="L1046" s="901"/>
      <c r="M1046" s="903"/>
      <c r="N1046" s="934"/>
    </row>
    <row r="1047" spans="2:14" ht="14.25" hidden="1" customHeight="1" outlineLevel="1">
      <c r="B1047" s="754" t="s">
        <v>1925</v>
      </c>
      <c r="C1047" s="15" t="str">
        <f>IFERROR(VLOOKUP(B1047,MasterSheet!$B$6:$N$150,3,),"n/a")</f>
        <v xml:space="preserve">Purified Water </v>
      </c>
      <c r="D1047" s="499">
        <v>100</v>
      </c>
      <c r="E1047" s="505" t="str">
        <f>IFERROR(VLOOKUP(B1047,[4]MasterSheet!$B$6:$N$144,10,),"N/a")</f>
        <v>g</v>
      </c>
      <c r="F1047" s="506" t="str">
        <f>IFERROR(VLOOKUP(B1047,MasterSheet!$B$6:$N$150,11,),"N/a")</f>
        <v>-</v>
      </c>
      <c r="G1047" s="488" t="str">
        <f>IFERROR(D1047*F1047,"_")</f>
        <v>_</v>
      </c>
      <c r="H1047" s="905">
        <f>SUM(G1047:G1049)</f>
        <v>3319</v>
      </c>
      <c r="I1047" s="905">
        <f>SUM(G1047:G1050)</f>
        <v>3527</v>
      </c>
      <c r="J1047" s="491" t="e">
        <f>D1047*$J$1044</f>
        <v>#N/A</v>
      </c>
      <c r="K1047" s="501" t="e">
        <f>D1047*$K$1044</f>
        <v>#N/A</v>
      </c>
      <c r="L1047" s="501" t="e">
        <f>SUM(J1047:K1047)</f>
        <v>#N/A</v>
      </c>
      <c r="M1047" s="493"/>
      <c r="N1047" s="738"/>
    </row>
    <row r="1048" spans="2:14" ht="14.25" hidden="1" customHeight="1" outlineLevel="1">
      <c r="B1048" s="754" t="s">
        <v>1928</v>
      </c>
      <c r="C1048" s="15" t="str">
        <f>IFERROR(VLOOKUP(B1048,MasterSheet!$B$6:$N$150,3,),"n/a")</f>
        <v>NESCAFE CLASIC</v>
      </c>
      <c r="D1048" s="499">
        <v>7</v>
      </c>
      <c r="E1048" s="505" t="str">
        <f>IFERROR(VLOOKUP(B1048,[4]MasterSheet!$B$6:$N$144,10,),"N/a")</f>
        <v>g</v>
      </c>
      <c r="F1048" s="506">
        <f>IFERROR(VLOOKUP(B1048,MasterSheet!$B$6:$N$150,11,),"N/a")</f>
        <v>375</v>
      </c>
      <c r="G1048" s="488">
        <f>IFERROR(D1048*F1048,"_")</f>
        <v>2625</v>
      </c>
      <c r="H1048" s="905"/>
      <c r="I1048" s="905"/>
      <c r="J1048" s="491" t="e">
        <f t="shared" ref="J1048:J1050" si="283">D1048*$J$1044</f>
        <v>#N/A</v>
      </c>
      <c r="K1048" s="501" t="e">
        <f t="shared" ref="K1048:K1050" si="284">D1048*$K$1044</f>
        <v>#N/A</v>
      </c>
      <c r="L1048" s="501" t="e">
        <f>SUM(J1048:K1048)</f>
        <v>#N/A</v>
      </c>
      <c r="M1048" s="493"/>
      <c r="N1048" s="738"/>
    </row>
    <row r="1049" spans="2:14" ht="14.25" hidden="1" customHeight="1" outlineLevel="1">
      <c r="B1049" s="755" t="s">
        <v>1736</v>
      </c>
      <c r="C1049" s="15" t="str">
        <f>IFERROR(VLOOKUP(B1049,MasterSheet!$B$6:$N$521,3,),"n/a")</f>
        <v>CUP PLS #14</v>
      </c>
      <c r="D1049" s="510">
        <v>1</v>
      </c>
      <c r="E1049" s="505" t="str">
        <f>IFERROR(VLOOKUP(B1049,[4]MasterSheet!$B$6:$N$515,10,),"N/a")</f>
        <v>ea</v>
      </c>
      <c r="F1049" s="506">
        <f>IFERROR(VLOOKUP(B1049,MasterSheet!$B$6:$N$521,11,),"N/a")</f>
        <v>694</v>
      </c>
      <c r="G1049" s="488">
        <f t="shared" ref="G1049:G1050" si="285">IFERROR(D1049*F1049,"_")</f>
        <v>694</v>
      </c>
      <c r="H1049" s="905"/>
      <c r="I1049" s="905"/>
      <c r="J1049" s="491" t="e">
        <f t="shared" si="283"/>
        <v>#N/A</v>
      </c>
      <c r="K1049" s="501" t="e">
        <f t="shared" si="284"/>
        <v>#N/A</v>
      </c>
      <c r="L1049" s="501" t="e">
        <f t="shared" ref="L1049:L1050" si="286">SUM(J1049:K1049)</f>
        <v>#N/A</v>
      </c>
      <c r="M1049" s="493"/>
      <c r="N1049" s="738"/>
    </row>
    <row r="1050" spans="2:14" ht="14.65" hidden="1" customHeight="1" outlineLevel="1" thickBot="1">
      <c r="B1050" s="753" t="s">
        <v>1743</v>
      </c>
      <c r="C1050" s="28" t="str">
        <f>IFERROR(VLOOKUP(B1050,MasterSheet!$B$6:$N$421,3,),"n/a")</f>
        <v>LID CUP #14 FLAT</v>
      </c>
      <c r="D1050" s="533">
        <v>1</v>
      </c>
      <c r="E1050" s="534" t="str">
        <f>IFERROR(VLOOKUP(B1050,[4]MasterSheet!B838:N1429,10,),"N/a")</f>
        <v>N/a</v>
      </c>
      <c r="F1050" s="535">
        <f>IFERROR(VLOOKUP(B1050,MasterSheet!$B$6:$N$421,11,),"N/a")</f>
        <v>208</v>
      </c>
      <c r="G1050" s="536">
        <f t="shared" si="285"/>
        <v>208</v>
      </c>
      <c r="H1050" s="906"/>
      <c r="I1050" s="906"/>
      <c r="J1050" s="528" t="e">
        <f t="shared" si="283"/>
        <v>#N/A</v>
      </c>
      <c r="K1050" s="529" t="e">
        <f t="shared" si="284"/>
        <v>#N/A</v>
      </c>
      <c r="L1050" s="529" t="e">
        <f t="shared" si="286"/>
        <v>#N/A</v>
      </c>
      <c r="M1050" s="530"/>
      <c r="N1050" s="739"/>
    </row>
    <row r="1051" spans="2:14" collapsed="1">
      <c r="B1051" s="219" t="s">
        <v>1973</v>
      </c>
      <c r="C1051" s="15" t="s">
        <v>1931</v>
      </c>
      <c r="D1051" s="184">
        <f>E1051*(1+$E$8)</f>
        <v>16500</v>
      </c>
      <c r="E1051" s="184">
        <v>15000</v>
      </c>
      <c r="F1051" s="174">
        <f>H1054</f>
        <v>4915</v>
      </c>
      <c r="G1051" s="489">
        <f>I1054</f>
        <v>5123</v>
      </c>
      <c r="H1051" s="500">
        <f>F1051/E1051</f>
        <v>0.32766666666666666</v>
      </c>
      <c r="I1051" s="500">
        <f>G1051/E1051</f>
        <v>0.34153333333333336</v>
      </c>
      <c r="J1051" s="492" t="e">
        <f>VLOOKUP(B1051,'SALES MIX'!$B$82:$J$103,4)</f>
        <v>#N/A</v>
      </c>
      <c r="K1051" s="477" t="e">
        <f>VLOOKUP(B1051,'SALES MIX'!$B$82:$J$103,5)</f>
        <v>#N/A</v>
      </c>
      <c r="L1051" s="221" t="e">
        <f>((F1051*J1051)+(G1051*K1051))/((J1051+K1051)*E1051)</f>
        <v>#N/A</v>
      </c>
      <c r="M1051" s="493"/>
      <c r="N1051" s="493"/>
    </row>
    <row r="1052" spans="2:14" ht="14.65" hidden="1" customHeight="1" outlineLevel="1" thickTop="1">
      <c r="B1052" s="923" t="s">
        <v>608</v>
      </c>
      <c r="C1052" s="925" t="s">
        <v>1305</v>
      </c>
      <c r="D1052" s="927" t="s">
        <v>1306</v>
      </c>
      <c r="E1052" s="927" t="s">
        <v>60</v>
      </c>
      <c r="F1052" s="927" t="s">
        <v>615</v>
      </c>
      <c r="G1052" s="927" t="s">
        <v>755</v>
      </c>
      <c r="H1052" s="929" t="s">
        <v>1312</v>
      </c>
      <c r="I1052" s="929"/>
      <c r="J1052" s="929" t="s">
        <v>1319</v>
      </c>
      <c r="K1052" s="929"/>
      <c r="L1052" s="930" t="s">
        <v>1313</v>
      </c>
      <c r="M1052" s="929" t="s">
        <v>912</v>
      </c>
      <c r="N1052" s="933"/>
    </row>
    <row r="1053" spans="2:14" ht="14.65" hidden="1" customHeight="1" outlineLevel="1" thickBot="1">
      <c r="B1053" s="932"/>
      <c r="C1053" s="896"/>
      <c r="D1053" s="898"/>
      <c r="E1053" s="898"/>
      <c r="F1053" s="898"/>
      <c r="G1053" s="898"/>
      <c r="H1053" s="502" t="s">
        <v>1309</v>
      </c>
      <c r="I1053" s="502" t="s">
        <v>1308</v>
      </c>
      <c r="J1053" s="502" t="s">
        <v>1309</v>
      </c>
      <c r="K1053" s="502" t="s">
        <v>1308</v>
      </c>
      <c r="L1053" s="901"/>
      <c r="M1053" s="903"/>
      <c r="N1053" s="934"/>
    </row>
    <row r="1054" spans="2:14" ht="14.25" hidden="1" customHeight="1" outlineLevel="1">
      <c r="B1054" s="754" t="s">
        <v>1925</v>
      </c>
      <c r="C1054" s="15" t="str">
        <f>IFERROR(VLOOKUP(B1054,MasterSheet!$B$6:$N$150,3,),"n/a")</f>
        <v xml:space="preserve">Purified Water </v>
      </c>
      <c r="D1054" s="499">
        <v>100</v>
      </c>
      <c r="E1054" s="505" t="str">
        <f>IFERROR(VLOOKUP(B1054,[4]MasterSheet!$B$6:$N$144,10,),"N/a")</f>
        <v>g</v>
      </c>
      <c r="F1054" s="506" t="str">
        <f>IFERROR(VLOOKUP(B1054,MasterSheet!$B$6:$N$150,11,),"N/a")</f>
        <v>-</v>
      </c>
      <c r="G1054" s="488" t="str">
        <f>IFERROR(D1054*F1054,"_")</f>
        <v>_</v>
      </c>
      <c r="H1054" s="905">
        <f>SUM(G1054:G1056)</f>
        <v>4915</v>
      </c>
      <c r="I1054" s="905">
        <f>SUM(G1054:G1057)</f>
        <v>5123</v>
      </c>
      <c r="J1054" s="491" t="e">
        <f>D1054*$J$1051</f>
        <v>#N/A</v>
      </c>
      <c r="K1054" s="501" t="e">
        <f>D1054*$K$1051</f>
        <v>#N/A</v>
      </c>
      <c r="L1054" s="501" t="e">
        <f>SUM(J1054:K1054)</f>
        <v>#N/A</v>
      </c>
      <c r="M1054" s="493"/>
      <c r="N1054" s="738"/>
    </row>
    <row r="1055" spans="2:14" ht="14.25" hidden="1" customHeight="1" outlineLevel="1">
      <c r="B1055" s="754" t="s">
        <v>1929</v>
      </c>
      <c r="C1055" s="15" t="str">
        <f>IFERROR(VLOOKUP(B1055,MasterSheet!$B$6:$N$150,3,),"n/a")</f>
        <v>NESCAFE LATTE</v>
      </c>
      <c r="D1055" s="499">
        <v>35</v>
      </c>
      <c r="E1055" s="505" t="str">
        <f>IFERROR(VLOOKUP(B1055,[4]MasterSheet!$B$6:$N$144,10,),"N/a")</f>
        <v>g</v>
      </c>
      <c r="F1055" s="506">
        <f>IFERROR(VLOOKUP(B1055,MasterSheet!$B$6:$N$150,11,),"N/a")</f>
        <v>120.6</v>
      </c>
      <c r="G1055" s="488">
        <f>IFERROR(D1055*F1055,"_")</f>
        <v>4221</v>
      </c>
      <c r="H1055" s="905"/>
      <c r="I1055" s="905"/>
      <c r="J1055" s="491" t="e">
        <f t="shared" ref="J1055:J1057" si="287">D1055*$J$1051</f>
        <v>#N/A</v>
      </c>
      <c r="K1055" s="501" t="e">
        <f t="shared" ref="K1055:K1057" si="288">D1055*$K$1051</f>
        <v>#N/A</v>
      </c>
      <c r="L1055" s="501" t="e">
        <f>SUM(J1055:K1055)</f>
        <v>#N/A</v>
      </c>
      <c r="M1055" s="493"/>
      <c r="N1055" s="738"/>
    </row>
    <row r="1056" spans="2:14" ht="14.25" hidden="1" customHeight="1" outlineLevel="1">
      <c r="B1056" s="755" t="s">
        <v>1736</v>
      </c>
      <c r="C1056" s="15" t="str">
        <f>IFERROR(VLOOKUP(B1056,MasterSheet!$B$6:$N$521,3,),"n/a")</f>
        <v>CUP PLS #14</v>
      </c>
      <c r="D1056" s="510">
        <v>1</v>
      </c>
      <c r="E1056" s="505" t="str">
        <f>IFERROR(VLOOKUP(B1056,[4]MasterSheet!$B$6:$N$515,10,),"N/a")</f>
        <v>ea</v>
      </c>
      <c r="F1056" s="506">
        <f>IFERROR(VLOOKUP(B1056,MasterSheet!$B$6:$N$521,11,),"N/a")</f>
        <v>694</v>
      </c>
      <c r="G1056" s="488">
        <f t="shared" ref="G1056:G1057" si="289">IFERROR(D1056*F1056,"_")</f>
        <v>694</v>
      </c>
      <c r="H1056" s="905"/>
      <c r="I1056" s="905"/>
      <c r="J1056" s="491" t="e">
        <f t="shared" si="287"/>
        <v>#N/A</v>
      </c>
      <c r="K1056" s="501" t="e">
        <f t="shared" si="288"/>
        <v>#N/A</v>
      </c>
      <c r="L1056" s="501" t="e">
        <f t="shared" ref="L1056:L1057" si="290">SUM(J1056:K1056)</f>
        <v>#N/A</v>
      </c>
      <c r="M1056" s="493"/>
      <c r="N1056" s="738"/>
    </row>
    <row r="1057" spans="2:14" ht="14.65" hidden="1" customHeight="1" outlineLevel="1" thickBot="1">
      <c r="B1057" s="753" t="s">
        <v>1743</v>
      </c>
      <c r="C1057" s="28" t="str">
        <f>IFERROR(VLOOKUP(B1057,MasterSheet!$B$6:$N$421,3,),"n/a")</f>
        <v>LID CUP #14 FLAT</v>
      </c>
      <c r="D1057" s="533">
        <v>1</v>
      </c>
      <c r="E1057" s="534" t="str">
        <f>IFERROR(VLOOKUP(B1057,[4]MasterSheet!B845:N1436,10,),"N/a")</f>
        <v>N/a</v>
      </c>
      <c r="F1057" s="535">
        <f>IFERROR(VLOOKUP(B1057,MasterSheet!$B$6:$N$421,11,),"N/a")</f>
        <v>208</v>
      </c>
      <c r="G1057" s="536">
        <f t="shared" si="289"/>
        <v>208</v>
      </c>
      <c r="H1057" s="906"/>
      <c r="I1057" s="906"/>
      <c r="J1057" s="528" t="e">
        <f t="shared" si="287"/>
        <v>#N/A</v>
      </c>
      <c r="K1057" s="529" t="e">
        <f t="shared" si="288"/>
        <v>#N/A</v>
      </c>
      <c r="L1057" s="529" t="e">
        <f t="shared" si="290"/>
        <v>#N/A</v>
      </c>
      <c r="M1057" s="530"/>
      <c r="N1057" s="739"/>
    </row>
    <row r="1058" spans="2:14" collapsed="1">
      <c r="B1058" s="219" t="s">
        <v>1975</v>
      </c>
      <c r="C1058" s="15" t="s">
        <v>1933</v>
      </c>
      <c r="D1058" s="184">
        <f>E1058*(1+$E$8)</f>
        <v>14300.000000000002</v>
      </c>
      <c r="E1058" s="184">
        <v>13000</v>
      </c>
      <c r="F1058" s="174">
        <f>H1061</f>
        <v>4134.6464646464647</v>
      </c>
      <c r="G1058" s="489">
        <f>I1061</f>
        <v>4134.6464646464647</v>
      </c>
      <c r="H1058" s="500">
        <f>F1058/E1058</f>
        <v>0.31804972804972803</v>
      </c>
      <c r="I1058" s="500">
        <f>G1058/E1058</f>
        <v>0.31804972804972803</v>
      </c>
      <c r="J1058" s="492" t="e">
        <f>VLOOKUP(B1058,'SALES MIX'!$B$82:$J$103,4)</f>
        <v>#N/A</v>
      </c>
      <c r="K1058" s="477" t="e">
        <f>VLOOKUP(B1058,'SALES MIX'!$B$82:$J$103,5)</f>
        <v>#N/A</v>
      </c>
      <c r="L1058" s="221" t="e">
        <f>((F1058*J1058)+(G1058*K1058))/((J1058+K1058)*E1058)</f>
        <v>#N/A</v>
      </c>
      <c r="M1058" s="493"/>
      <c r="N1058" s="493"/>
    </row>
    <row r="1059" spans="2:14" ht="14.65" hidden="1" customHeight="1" outlineLevel="1" thickTop="1">
      <c r="B1059" s="923" t="s">
        <v>608</v>
      </c>
      <c r="C1059" s="925" t="s">
        <v>1305</v>
      </c>
      <c r="D1059" s="927" t="s">
        <v>1306</v>
      </c>
      <c r="E1059" s="927" t="s">
        <v>60</v>
      </c>
      <c r="F1059" s="927" t="s">
        <v>615</v>
      </c>
      <c r="G1059" s="927" t="s">
        <v>755</v>
      </c>
      <c r="H1059" s="929" t="s">
        <v>1312</v>
      </c>
      <c r="I1059" s="929"/>
      <c r="J1059" s="929" t="s">
        <v>1319</v>
      </c>
      <c r="K1059" s="929"/>
      <c r="L1059" s="930" t="s">
        <v>1313</v>
      </c>
      <c r="M1059" s="929" t="s">
        <v>912</v>
      </c>
      <c r="N1059" s="933"/>
    </row>
    <row r="1060" spans="2:14" ht="14.65" hidden="1" customHeight="1" outlineLevel="1" thickBot="1">
      <c r="B1060" s="932"/>
      <c r="C1060" s="896"/>
      <c r="D1060" s="898"/>
      <c r="E1060" s="898"/>
      <c r="F1060" s="898"/>
      <c r="G1060" s="898"/>
      <c r="H1060" s="502" t="s">
        <v>1309</v>
      </c>
      <c r="I1060" s="502" t="s">
        <v>1308</v>
      </c>
      <c r="J1060" s="502" t="s">
        <v>1309</v>
      </c>
      <c r="K1060" s="502" t="s">
        <v>1308</v>
      </c>
      <c r="L1060" s="901"/>
      <c r="M1060" s="903"/>
      <c r="N1060" s="934"/>
    </row>
    <row r="1061" spans="2:14" ht="14.25" hidden="1" customHeight="1" outlineLevel="1">
      <c r="B1061" s="754" t="s">
        <v>1934</v>
      </c>
      <c r="C1061" s="15" t="str">
        <f>IFERROR(VLOOKUP(B1061,MasterSheet!$B$6:$N$150,3,),"n/a")</f>
        <v>Vanila Ice Cream</v>
      </c>
      <c r="D1061" s="499">
        <v>23</v>
      </c>
      <c r="E1061" s="505" t="str">
        <f>IFERROR(VLOOKUP(B1061,[4]MasterSheet!$B$6:$N$144,10,),"N/a")</f>
        <v>g</v>
      </c>
      <c r="F1061" s="506">
        <f>IFERROR(VLOOKUP(B1061,MasterSheet!$B$6:$N$150,11,),"N/a")</f>
        <v>140.15151515151516</v>
      </c>
      <c r="G1061" s="488">
        <f>IFERROR(D1061*F1061,"_")</f>
        <v>3223.4848484848485</v>
      </c>
      <c r="H1061" s="905">
        <f>SUM(G1061:G1064)</f>
        <v>4134.6464646464647</v>
      </c>
      <c r="I1061" s="905">
        <f>SUM(G1061:G1064)</f>
        <v>4134.6464646464647</v>
      </c>
      <c r="J1061" s="491" t="e">
        <f>D1061*$J$1058</f>
        <v>#N/A</v>
      </c>
      <c r="K1061" s="501" t="e">
        <f>D1061*$K$1058</f>
        <v>#N/A</v>
      </c>
      <c r="L1061" s="501" t="e">
        <f>SUM(J1061:K1061)</f>
        <v>#N/A</v>
      </c>
      <c r="M1061" s="493"/>
      <c r="N1061" s="738"/>
    </row>
    <row r="1062" spans="2:14" ht="14.25" hidden="1" customHeight="1" outlineLevel="1">
      <c r="B1062" s="754" t="s">
        <v>1935</v>
      </c>
      <c r="C1062" s="15" t="str">
        <f>IFERROR(VLOOKUP(B1062,MasterSheet!$B$6:$N$150,3,),"n/a")</f>
        <v>BONALLIE STRAWBERRY</v>
      </c>
      <c r="D1062" s="499">
        <v>3</v>
      </c>
      <c r="E1062" s="505" t="str">
        <f>IFERROR(VLOOKUP(B1062,[4]MasterSheet!$B$6:$N$144,10,),"N/a")</f>
        <v>ml</v>
      </c>
      <c r="F1062" s="506">
        <f>IFERROR(VLOOKUP(B1062,MasterSheet!$B$6:$N$150,11,),"N/a")</f>
        <v>104.64646464646464</v>
      </c>
      <c r="G1062" s="488">
        <f>IFERROR(D1062*F1062,"_")</f>
        <v>313.93939393939388</v>
      </c>
      <c r="H1062" s="905"/>
      <c r="I1062" s="905"/>
      <c r="J1062" s="491" t="e">
        <f t="shared" ref="J1062:J1064" si="291">D1062*$J$1058</f>
        <v>#N/A</v>
      </c>
      <c r="K1062" s="501" t="e">
        <f t="shared" ref="K1062:K1064" si="292">D1062*$K$1058</f>
        <v>#N/A</v>
      </c>
      <c r="L1062" s="501" t="e">
        <f>SUM(J1062:K1062)</f>
        <v>#N/A</v>
      </c>
      <c r="M1062" s="493"/>
      <c r="N1062" s="738"/>
    </row>
    <row r="1063" spans="2:14" ht="14.25" hidden="1" customHeight="1" outlineLevel="1">
      <c r="B1063" s="754" t="s">
        <v>1936</v>
      </c>
      <c r="C1063" s="15" t="str">
        <f>IFERROR(VLOOKUP(B1063,MasterSheet!$B$6:$N$150,3,),"n/a")</f>
        <v>Corn Flake</v>
      </c>
      <c r="D1063" s="499">
        <v>2</v>
      </c>
      <c r="E1063" s="505" t="str">
        <f>IFERROR(VLOOKUP(B1063,[4]MasterSheet!$B$6:$N$144,10,),"N/a")</f>
        <v>g</v>
      </c>
      <c r="F1063" s="506">
        <f>IFERROR(VLOOKUP(B1063,MasterSheet!$B$6:$N$150,11,),"N/a")</f>
        <v>111.11111111111111</v>
      </c>
      <c r="G1063" s="488">
        <f>IFERROR(D1063*F1063,"_")</f>
        <v>222.22222222222223</v>
      </c>
      <c r="H1063" s="905"/>
      <c r="I1063" s="905"/>
      <c r="J1063" s="491" t="e">
        <f t="shared" si="291"/>
        <v>#N/A</v>
      </c>
      <c r="K1063" s="501" t="e">
        <f t="shared" si="292"/>
        <v>#N/A</v>
      </c>
      <c r="L1063" s="501"/>
      <c r="M1063" s="493"/>
      <c r="N1063" s="738"/>
    </row>
    <row r="1064" spans="2:14" ht="14.65" hidden="1" customHeight="1" outlineLevel="1" thickBot="1">
      <c r="B1064" s="753" t="s">
        <v>1737</v>
      </c>
      <c r="C1064" s="28" t="str">
        <f>IFERROR(VLOOKUP(B1064,MasterSheet!$B$6:$N$421,3,),"n/a")</f>
        <v>CUP SUNDAE #8 OZ</v>
      </c>
      <c r="D1064" s="533">
        <v>1</v>
      </c>
      <c r="E1064" s="534" t="str">
        <f>IFERROR(VLOOKUP(B1064,[4]MasterSheet!B852:N1443,10,),"N/a")</f>
        <v>N/a</v>
      </c>
      <c r="F1064" s="535">
        <f>IFERROR(VLOOKUP(B1064,MasterSheet!$B$6:$N$421,11,),"N/a")</f>
        <v>375</v>
      </c>
      <c r="G1064" s="536">
        <f t="shared" ref="G1064" si="293">IFERROR(D1064*F1064,"_")</f>
        <v>375</v>
      </c>
      <c r="H1064" s="906"/>
      <c r="I1064" s="906"/>
      <c r="J1064" s="528" t="e">
        <f t="shared" si="291"/>
        <v>#N/A</v>
      </c>
      <c r="K1064" s="529" t="e">
        <f t="shared" si="292"/>
        <v>#N/A</v>
      </c>
      <c r="L1064" s="529" t="e">
        <f t="shared" ref="L1064" si="294">SUM(J1064:K1064)</f>
        <v>#N/A</v>
      </c>
      <c r="M1064" s="530"/>
      <c r="N1064" s="739"/>
    </row>
    <row r="1065" spans="2:14" collapsed="1">
      <c r="B1065" s="219" t="s">
        <v>1977</v>
      </c>
      <c r="C1065" s="15" t="s">
        <v>1933</v>
      </c>
      <c r="D1065" s="184">
        <f>E1065*(1+$E$8)</f>
        <v>14300.000000000002</v>
      </c>
      <c r="E1065" s="184">
        <v>13000</v>
      </c>
      <c r="F1065" s="174">
        <f>H1068</f>
        <v>4439.58152958153</v>
      </c>
      <c r="G1065" s="489">
        <f>I1068</f>
        <v>4439.58152958153</v>
      </c>
      <c r="H1065" s="500">
        <f>F1065/E1065</f>
        <v>0.34150627150627155</v>
      </c>
      <c r="I1065" s="500">
        <f>G1065/E1065</f>
        <v>0.34150627150627155</v>
      </c>
      <c r="J1065" s="492" t="e">
        <f>VLOOKUP(B1065,'SALES MIX'!$B$82:$J$103,4)</f>
        <v>#N/A</v>
      </c>
      <c r="K1065" s="477" t="e">
        <f>VLOOKUP(B1065,'SALES MIX'!$B$82:$J$103,5)</f>
        <v>#N/A</v>
      </c>
      <c r="L1065" s="221" t="e">
        <f>((F1065*J1065)+(G1065*K1065))/((J1065+K1065)*E1065)</f>
        <v>#N/A</v>
      </c>
      <c r="M1065" s="493"/>
      <c r="N1065" s="493"/>
    </row>
    <row r="1066" spans="2:14" ht="14.65" hidden="1" customHeight="1" outlineLevel="1" thickTop="1">
      <c r="B1066" s="923" t="s">
        <v>608</v>
      </c>
      <c r="C1066" s="925" t="s">
        <v>1305</v>
      </c>
      <c r="D1066" s="927" t="s">
        <v>1306</v>
      </c>
      <c r="E1066" s="927" t="s">
        <v>60</v>
      </c>
      <c r="F1066" s="927" t="s">
        <v>615</v>
      </c>
      <c r="G1066" s="927" t="s">
        <v>755</v>
      </c>
      <c r="H1066" s="929" t="s">
        <v>1312</v>
      </c>
      <c r="I1066" s="929"/>
      <c r="J1066" s="929" t="s">
        <v>1319</v>
      </c>
      <c r="K1066" s="929"/>
      <c r="L1066" s="930" t="s">
        <v>1313</v>
      </c>
      <c r="M1066" s="929" t="s">
        <v>912</v>
      </c>
      <c r="N1066" s="933"/>
    </row>
    <row r="1067" spans="2:14" ht="14.65" hidden="1" customHeight="1" outlineLevel="1" thickBot="1">
      <c r="B1067" s="932"/>
      <c r="C1067" s="896"/>
      <c r="D1067" s="898"/>
      <c r="E1067" s="898"/>
      <c r="F1067" s="898"/>
      <c r="G1067" s="898"/>
      <c r="H1067" s="502" t="s">
        <v>1309</v>
      </c>
      <c r="I1067" s="502" t="s">
        <v>1308</v>
      </c>
      <c r="J1067" s="502" t="s">
        <v>1309</v>
      </c>
      <c r="K1067" s="502" t="s">
        <v>1308</v>
      </c>
      <c r="L1067" s="901"/>
      <c r="M1067" s="903"/>
      <c r="N1067" s="934"/>
    </row>
    <row r="1068" spans="2:14" ht="14.25" hidden="1" customHeight="1" outlineLevel="1">
      <c r="B1068" s="754" t="s">
        <v>1937</v>
      </c>
      <c r="C1068" s="15" t="str">
        <f>IFERROR(VLOOKUP(B1068,MasterSheet!$B$6:$N$150,3,),"n/a")</f>
        <v>Chocolate Ice Cream</v>
      </c>
      <c r="D1068" s="499">
        <v>23</v>
      </c>
      <c r="E1068" s="505" t="str">
        <f>IFERROR(VLOOKUP(B1068,[4]MasterSheet!$B$6:$N$144,10,),"N/a")</f>
        <v>g</v>
      </c>
      <c r="F1068" s="506">
        <f>IFERROR(VLOOKUP(B1068,MasterSheet!$B$6:$N$150,11,),"N/a")</f>
        <v>140.15151515151516</v>
      </c>
      <c r="G1068" s="488">
        <f>IFERROR(D1068*F1068,"_")</f>
        <v>3223.4848484848485</v>
      </c>
      <c r="H1068" s="905">
        <f>SUM(G1068:G1071)</f>
        <v>4439.58152958153</v>
      </c>
      <c r="I1068" s="905">
        <f>SUM(G1068:G1071)</f>
        <v>4439.58152958153</v>
      </c>
      <c r="J1068" s="491" t="e">
        <f>D1068*$J$1065</f>
        <v>#N/A</v>
      </c>
      <c r="K1068" s="501" t="e">
        <f>D1068*$K$1065</f>
        <v>#N/A</v>
      </c>
      <c r="L1068" s="501" t="e">
        <f>SUM(J1068:K1068)</f>
        <v>#N/A</v>
      </c>
      <c r="M1068" s="493"/>
      <c r="N1068" s="738"/>
    </row>
    <row r="1069" spans="2:14" ht="14.25" hidden="1" customHeight="1" outlineLevel="1">
      <c r="B1069" s="754" t="s">
        <v>1910</v>
      </c>
      <c r="C1069" s="15" t="str">
        <f>IFERROR(VLOOKUP(B1069,MasterSheet!$B$6:$N$150,3,),"n/a")</f>
        <v>Chocolate syrup</v>
      </c>
      <c r="D1069" s="499">
        <v>3</v>
      </c>
      <c r="E1069" s="505" t="str">
        <f>IFERROR(VLOOKUP(B1069,[4]MasterSheet!$B$6:$N$144,10,),"N/a")</f>
        <v>g</v>
      </c>
      <c r="F1069" s="506">
        <f>IFERROR(VLOOKUP(B1069,MasterSheet!$B$6:$N$150,11,),"N/a")</f>
        <v>176.19047619047618</v>
      </c>
      <c r="G1069" s="488">
        <f>IFERROR(D1069*F1069,"_")</f>
        <v>528.57142857142856</v>
      </c>
      <c r="H1069" s="905"/>
      <c r="I1069" s="905"/>
      <c r="J1069" s="491" t="e">
        <f t="shared" ref="J1069:J1071" si="295">D1069*$J$1065</f>
        <v>#N/A</v>
      </c>
      <c r="K1069" s="501" t="e">
        <f t="shared" ref="K1069:K1071" si="296">D1069*$K$1065</f>
        <v>#N/A</v>
      </c>
      <c r="L1069" s="501" t="e">
        <f>SUM(J1069:K1069)</f>
        <v>#N/A</v>
      </c>
      <c r="M1069" s="493"/>
      <c r="N1069" s="738"/>
    </row>
    <row r="1070" spans="2:14" ht="14.25" hidden="1" customHeight="1" outlineLevel="1">
      <c r="B1070" s="754" t="s">
        <v>1938</v>
      </c>
      <c r="C1070" s="15" t="str">
        <f>IFERROR(VLOOKUP(B1070,MasterSheet!$B$6:$N$150,3,),"n/a")</f>
        <v>Oreo Crumble</v>
      </c>
      <c r="D1070" s="499">
        <v>2</v>
      </c>
      <c r="E1070" s="505" t="str">
        <f>IFERROR(VLOOKUP(B1070,[4]MasterSheet!$B$6:$N$144,10,),"N/a")</f>
        <v>g</v>
      </c>
      <c r="F1070" s="506">
        <f>IFERROR(VLOOKUP(B1070,MasterSheet!$B$6:$N$150,11,),"N/a")</f>
        <v>156.26262626262624</v>
      </c>
      <c r="G1070" s="488">
        <f>IFERROR(D1070*F1070,"_")</f>
        <v>312.52525252525248</v>
      </c>
      <c r="H1070" s="905"/>
      <c r="I1070" s="905"/>
      <c r="J1070" s="491" t="e">
        <f t="shared" si="295"/>
        <v>#N/A</v>
      </c>
      <c r="K1070" s="501" t="e">
        <f t="shared" si="296"/>
        <v>#N/A</v>
      </c>
      <c r="L1070" s="501"/>
      <c r="M1070" s="493"/>
      <c r="N1070" s="738"/>
    </row>
    <row r="1071" spans="2:14" ht="14.65" hidden="1" customHeight="1" outlineLevel="1" thickBot="1">
      <c r="B1071" s="753" t="s">
        <v>1737</v>
      </c>
      <c r="C1071" s="28" t="str">
        <f>IFERROR(VLOOKUP(B1071,MasterSheet!$B$6:$N$421,3,),"n/a")</f>
        <v>CUP SUNDAE #8 OZ</v>
      </c>
      <c r="D1071" s="533">
        <v>1</v>
      </c>
      <c r="E1071" s="534" t="str">
        <f>IFERROR(VLOOKUP(B1071,[4]MasterSheet!B859:N1450,10,),"N/a")</f>
        <v>N/a</v>
      </c>
      <c r="F1071" s="535">
        <f>IFERROR(VLOOKUP(B1071,MasterSheet!$B$6:$N$421,11,),"N/a")</f>
        <v>375</v>
      </c>
      <c r="G1071" s="536">
        <f t="shared" ref="G1071" si="297">IFERROR(D1071*F1071,"_")</f>
        <v>375</v>
      </c>
      <c r="H1071" s="906"/>
      <c r="I1071" s="906"/>
      <c r="J1071" s="528" t="e">
        <f t="shared" si="295"/>
        <v>#N/A</v>
      </c>
      <c r="K1071" s="529" t="e">
        <f t="shared" si="296"/>
        <v>#N/A</v>
      </c>
      <c r="L1071" s="529" t="e">
        <f t="shared" ref="L1071" si="298">SUM(J1071:K1071)</f>
        <v>#N/A</v>
      </c>
      <c r="M1071" s="530"/>
      <c r="N1071" s="739"/>
    </row>
    <row r="1072" spans="2:14" ht="14.65" collapsed="1" thickBot="1">
      <c r="B1072" s="219" t="s">
        <v>1979</v>
      </c>
      <c r="C1072" s="15" t="s">
        <v>1940</v>
      </c>
      <c r="D1072" s="184">
        <f>E1072*(1+$E$8)</f>
        <v>8800</v>
      </c>
      <c r="E1072" s="184">
        <v>8000</v>
      </c>
      <c r="F1072" s="174">
        <f>H1075</f>
        <v>1958.33</v>
      </c>
      <c r="G1072" s="489">
        <f>I1075</f>
        <v>1958.33</v>
      </c>
      <c r="H1072" s="500">
        <f>F1072/E1072</f>
        <v>0.24479124999999999</v>
      </c>
      <c r="I1072" s="500">
        <f>G1072/E1072</f>
        <v>0.24479124999999999</v>
      </c>
      <c r="J1072" s="492" t="e">
        <f>VLOOKUP(B1072,'SALES MIX'!$B$82:$J$103,4)</f>
        <v>#N/A</v>
      </c>
      <c r="K1072" s="477" t="e">
        <f>VLOOKUP(B1072,'SALES MIX'!$B$82:$J$103,5)</f>
        <v>#N/A</v>
      </c>
      <c r="L1072" s="221" t="e">
        <f>((F1072*J1072)+(G1072*K1072))/((J1072+K1072)*E1072)</f>
        <v>#N/A</v>
      </c>
      <c r="M1072" s="493"/>
      <c r="N1072" s="493"/>
    </row>
    <row r="1073" spans="2:14" ht="14.65" outlineLevel="1" thickTop="1">
      <c r="B1073" s="923" t="s">
        <v>608</v>
      </c>
      <c r="C1073" s="925" t="s">
        <v>1305</v>
      </c>
      <c r="D1073" s="927" t="s">
        <v>1306</v>
      </c>
      <c r="E1073" s="927" t="s">
        <v>60</v>
      </c>
      <c r="F1073" s="927" t="s">
        <v>615</v>
      </c>
      <c r="G1073" s="927" t="s">
        <v>755</v>
      </c>
      <c r="H1073" s="929" t="s">
        <v>1312</v>
      </c>
      <c r="I1073" s="929"/>
      <c r="J1073" s="929" t="s">
        <v>1319</v>
      </c>
      <c r="K1073" s="929"/>
      <c r="L1073" s="930" t="s">
        <v>1313</v>
      </c>
      <c r="M1073" s="929" t="s">
        <v>912</v>
      </c>
      <c r="N1073" s="933"/>
    </row>
    <row r="1074" spans="2:14" ht="14.65" outlineLevel="1" thickBot="1">
      <c r="B1074" s="932"/>
      <c r="C1074" s="896"/>
      <c r="D1074" s="898"/>
      <c r="E1074" s="898"/>
      <c r="F1074" s="898"/>
      <c r="G1074" s="898"/>
      <c r="H1074" s="502" t="s">
        <v>1309</v>
      </c>
      <c r="I1074" s="502" t="s">
        <v>1308</v>
      </c>
      <c r="J1074" s="502" t="s">
        <v>1309</v>
      </c>
      <c r="K1074" s="502" t="s">
        <v>1308</v>
      </c>
      <c r="L1074" s="901"/>
      <c r="M1074" s="903"/>
      <c r="N1074" s="934"/>
    </row>
    <row r="1075" spans="2:14" ht="14.65" outlineLevel="1" thickBot="1">
      <c r="B1075" s="812" t="s">
        <v>1941</v>
      </c>
      <c r="C1075" s="28" t="str">
        <f>IFERROR(VLOOKUP(B1075,MasterSheet!$B$6:$N$150,3,),"n/a")</f>
        <v>MINERAL WATER 600ML</v>
      </c>
      <c r="D1075" s="813">
        <v>1</v>
      </c>
      <c r="E1075" s="534" t="str">
        <f>IFERROR(VLOOKUP(B1075,MasterSheet!$B$6:$N$150,10,),"N/a")</f>
        <v>ea</v>
      </c>
      <c r="F1075" s="535">
        <f>IFERROR(VLOOKUP(B1075,MasterSheet!$B$6:$N$150,11,),"N/a")</f>
        <v>1958.33</v>
      </c>
      <c r="G1075" s="536">
        <f>IFERROR(D1075*F1075,"_")</f>
        <v>1958.33</v>
      </c>
      <c r="H1075" s="732">
        <f>SUM(G1075:G1075)</f>
        <v>1958.33</v>
      </c>
      <c r="I1075" s="732">
        <f>SUM(G1075:G1075)</f>
        <v>1958.33</v>
      </c>
      <c r="J1075" s="528" t="e">
        <f>D1075*$J$1072</f>
        <v>#N/A</v>
      </c>
      <c r="K1075" s="529" t="e">
        <f>D1075*$K$1072</f>
        <v>#N/A</v>
      </c>
      <c r="L1075" s="529" t="e">
        <f>SUM(J1075:K1075)</f>
        <v>#N/A</v>
      </c>
      <c r="M1075" s="530"/>
      <c r="N1075" s="739"/>
    </row>
    <row r="1076" spans="2:14" ht="14.65" thickTop="1"/>
  </sheetData>
  <sortState xmlns:xlrd2="http://schemas.microsoft.com/office/spreadsheetml/2017/richdata2" ref="B130:O943">
    <sortCondition ref="C130:C943"/>
  </sortState>
  <mergeCells count="1058">
    <mergeCell ref="J1073:K1073"/>
    <mergeCell ref="L1073:L1074"/>
    <mergeCell ref="M1073:N1074"/>
    <mergeCell ref="H1068:H1071"/>
    <mergeCell ref="I1068:I1071"/>
    <mergeCell ref="B1073:B1074"/>
    <mergeCell ref="C1073:C1074"/>
    <mergeCell ref="D1073:D1074"/>
    <mergeCell ref="E1073:E1074"/>
    <mergeCell ref="F1073:F1074"/>
    <mergeCell ref="G1073:G1074"/>
    <mergeCell ref="H1073:I1073"/>
    <mergeCell ref="J1059:K1059"/>
    <mergeCell ref="L1059:L1060"/>
    <mergeCell ref="M1059:N1060"/>
    <mergeCell ref="H1061:H1064"/>
    <mergeCell ref="I1061:I1064"/>
    <mergeCell ref="B1066:B1067"/>
    <mergeCell ref="C1066:C1067"/>
    <mergeCell ref="D1066:D1067"/>
    <mergeCell ref="E1066:E1067"/>
    <mergeCell ref="F1066:F1067"/>
    <mergeCell ref="G1066:G1067"/>
    <mergeCell ref="H1066:I1066"/>
    <mergeCell ref="J1066:K1066"/>
    <mergeCell ref="L1066:L1067"/>
    <mergeCell ref="M1066:N1067"/>
    <mergeCell ref="H1054:H1057"/>
    <mergeCell ref="I1054:I1057"/>
    <mergeCell ref="B1059:B1060"/>
    <mergeCell ref="C1059:C1060"/>
    <mergeCell ref="D1059:D1060"/>
    <mergeCell ref="E1059:E1060"/>
    <mergeCell ref="F1059:F1060"/>
    <mergeCell ref="G1059:G1060"/>
    <mergeCell ref="H1059:I1059"/>
    <mergeCell ref="J1045:K1045"/>
    <mergeCell ref="L1045:L1046"/>
    <mergeCell ref="M1045:N1046"/>
    <mergeCell ref="H1047:H1050"/>
    <mergeCell ref="I1047:I1050"/>
    <mergeCell ref="B1052:B1053"/>
    <mergeCell ref="C1052:C1053"/>
    <mergeCell ref="D1052:D1053"/>
    <mergeCell ref="E1052:E1053"/>
    <mergeCell ref="F1052:F1053"/>
    <mergeCell ref="G1052:G1053"/>
    <mergeCell ref="H1052:I1052"/>
    <mergeCell ref="J1052:K1052"/>
    <mergeCell ref="L1052:L1053"/>
    <mergeCell ref="M1052:N1053"/>
    <mergeCell ref="H1040:H1043"/>
    <mergeCell ref="I1040:I1043"/>
    <mergeCell ref="B1045:B1046"/>
    <mergeCell ref="C1045:C1046"/>
    <mergeCell ref="D1045:D1046"/>
    <mergeCell ref="E1045:E1046"/>
    <mergeCell ref="F1045:F1046"/>
    <mergeCell ref="G1045:G1046"/>
    <mergeCell ref="H1045:I1045"/>
    <mergeCell ref="J1031:K1031"/>
    <mergeCell ref="L1031:L1032"/>
    <mergeCell ref="M1031:N1032"/>
    <mergeCell ref="H1033:H1036"/>
    <mergeCell ref="I1033:I1036"/>
    <mergeCell ref="B1038:B1039"/>
    <mergeCell ref="C1038:C1039"/>
    <mergeCell ref="D1038:D1039"/>
    <mergeCell ref="E1038:E1039"/>
    <mergeCell ref="F1038:F1039"/>
    <mergeCell ref="G1038:G1039"/>
    <mergeCell ref="H1038:I1038"/>
    <mergeCell ref="J1038:K1038"/>
    <mergeCell ref="L1038:L1039"/>
    <mergeCell ref="M1038:N1039"/>
    <mergeCell ref="H1026:H1029"/>
    <mergeCell ref="I1026:I1029"/>
    <mergeCell ref="B1031:B1032"/>
    <mergeCell ref="C1031:C1032"/>
    <mergeCell ref="D1031:D1032"/>
    <mergeCell ref="E1031:E1032"/>
    <mergeCell ref="F1031:F1032"/>
    <mergeCell ref="G1031:G1032"/>
    <mergeCell ref="H1031:I1031"/>
    <mergeCell ref="J1017:K1017"/>
    <mergeCell ref="L1017:L1018"/>
    <mergeCell ref="M1017:N1018"/>
    <mergeCell ref="H1019:H1022"/>
    <mergeCell ref="I1019:I1022"/>
    <mergeCell ref="B1024:B1025"/>
    <mergeCell ref="C1024:C1025"/>
    <mergeCell ref="D1024:D1025"/>
    <mergeCell ref="E1024:E1025"/>
    <mergeCell ref="F1024:F1025"/>
    <mergeCell ref="G1024:G1025"/>
    <mergeCell ref="H1024:I1024"/>
    <mergeCell ref="J1024:K1024"/>
    <mergeCell ref="L1024:L1025"/>
    <mergeCell ref="M1024:N1025"/>
    <mergeCell ref="H1012:H1015"/>
    <mergeCell ref="I1012:I1015"/>
    <mergeCell ref="B1017:B1018"/>
    <mergeCell ref="C1017:C1018"/>
    <mergeCell ref="D1017:D1018"/>
    <mergeCell ref="E1017:E1018"/>
    <mergeCell ref="F1017:F1018"/>
    <mergeCell ref="G1017:G1018"/>
    <mergeCell ref="H1017:I1017"/>
    <mergeCell ref="J1003:K1003"/>
    <mergeCell ref="L1003:L1004"/>
    <mergeCell ref="M1003:N1004"/>
    <mergeCell ref="H1005:H1008"/>
    <mergeCell ref="I1005:I1008"/>
    <mergeCell ref="B1010:B1011"/>
    <mergeCell ref="C1010:C1011"/>
    <mergeCell ref="D1010:D1011"/>
    <mergeCell ref="E1010:E1011"/>
    <mergeCell ref="F1010:F1011"/>
    <mergeCell ref="G1010:G1011"/>
    <mergeCell ref="H1010:I1010"/>
    <mergeCell ref="J1010:K1010"/>
    <mergeCell ref="L1010:L1011"/>
    <mergeCell ref="M1010:N1011"/>
    <mergeCell ref="H998:H1001"/>
    <mergeCell ref="I998:I1001"/>
    <mergeCell ref="B1003:B1004"/>
    <mergeCell ref="C1003:C1004"/>
    <mergeCell ref="D1003:D1004"/>
    <mergeCell ref="E1003:E1004"/>
    <mergeCell ref="F1003:F1004"/>
    <mergeCell ref="G1003:G1004"/>
    <mergeCell ref="H1003:I1003"/>
    <mergeCell ref="J989:K989"/>
    <mergeCell ref="L989:L990"/>
    <mergeCell ref="M989:N990"/>
    <mergeCell ref="B996:B997"/>
    <mergeCell ref="C996:C997"/>
    <mergeCell ref="D996:D997"/>
    <mergeCell ref="E996:E997"/>
    <mergeCell ref="F996:F997"/>
    <mergeCell ref="G996:G997"/>
    <mergeCell ref="H996:I996"/>
    <mergeCell ref="J996:K996"/>
    <mergeCell ref="L996:L997"/>
    <mergeCell ref="M996:N997"/>
    <mergeCell ref="H991:H994"/>
    <mergeCell ref="I991:I994"/>
    <mergeCell ref="B989:B990"/>
    <mergeCell ref="C989:C990"/>
    <mergeCell ref="D989:D990"/>
    <mergeCell ref="E989:E990"/>
    <mergeCell ref="F989:F990"/>
    <mergeCell ref="G989:G990"/>
    <mergeCell ref="H989:I989"/>
    <mergeCell ref="J981:K981"/>
    <mergeCell ref="L981:L982"/>
    <mergeCell ref="M981:N982"/>
    <mergeCell ref="H983:H987"/>
    <mergeCell ref="I983:I987"/>
    <mergeCell ref="H975:H979"/>
    <mergeCell ref="I975:I979"/>
    <mergeCell ref="B981:B982"/>
    <mergeCell ref="C981:C982"/>
    <mergeCell ref="D981:D982"/>
    <mergeCell ref="E981:E982"/>
    <mergeCell ref="F981:F982"/>
    <mergeCell ref="G981:G982"/>
    <mergeCell ref="H981:I981"/>
    <mergeCell ref="J965:K965"/>
    <mergeCell ref="L965:L966"/>
    <mergeCell ref="M965:N966"/>
    <mergeCell ref="H967:H971"/>
    <mergeCell ref="I967:I971"/>
    <mergeCell ref="B973:B974"/>
    <mergeCell ref="C973:C974"/>
    <mergeCell ref="D973:D974"/>
    <mergeCell ref="E973:E974"/>
    <mergeCell ref="F973:F974"/>
    <mergeCell ref="G973:G974"/>
    <mergeCell ref="H973:I973"/>
    <mergeCell ref="J973:K973"/>
    <mergeCell ref="L973:L974"/>
    <mergeCell ref="M973:N974"/>
    <mergeCell ref="H959:H963"/>
    <mergeCell ref="I959:I963"/>
    <mergeCell ref="B965:B966"/>
    <mergeCell ref="C965:C966"/>
    <mergeCell ref="D965:D966"/>
    <mergeCell ref="E965:E966"/>
    <mergeCell ref="F965:F966"/>
    <mergeCell ref="G965:G966"/>
    <mergeCell ref="H965:I965"/>
    <mergeCell ref="J951:K951"/>
    <mergeCell ref="L951:L952"/>
    <mergeCell ref="M951:N952"/>
    <mergeCell ref="H953:H955"/>
    <mergeCell ref="I953:I955"/>
    <mergeCell ref="B957:B958"/>
    <mergeCell ref="C957:C958"/>
    <mergeCell ref="D957:D958"/>
    <mergeCell ref="E957:E958"/>
    <mergeCell ref="F957:F958"/>
    <mergeCell ref="G957:G958"/>
    <mergeCell ref="H957:I957"/>
    <mergeCell ref="J957:K957"/>
    <mergeCell ref="L957:L958"/>
    <mergeCell ref="M957:N958"/>
    <mergeCell ref="H947:H949"/>
    <mergeCell ref="I947:I949"/>
    <mergeCell ref="B951:B952"/>
    <mergeCell ref="C951:C952"/>
    <mergeCell ref="D951:D952"/>
    <mergeCell ref="E951:E952"/>
    <mergeCell ref="F951:F952"/>
    <mergeCell ref="G951:G952"/>
    <mergeCell ref="H951:I951"/>
    <mergeCell ref="M939:N940"/>
    <mergeCell ref="H941:H943"/>
    <mergeCell ref="I941:I943"/>
    <mergeCell ref="B945:B946"/>
    <mergeCell ref="C945:C946"/>
    <mergeCell ref="D945:D946"/>
    <mergeCell ref="E945:E946"/>
    <mergeCell ref="F945:F946"/>
    <mergeCell ref="G945:G946"/>
    <mergeCell ref="H945:I945"/>
    <mergeCell ref="J945:K945"/>
    <mergeCell ref="L945:L946"/>
    <mergeCell ref="M945:N946"/>
    <mergeCell ref="B939:B940"/>
    <mergeCell ref="C939:C940"/>
    <mergeCell ref="D939:D940"/>
    <mergeCell ref="E939:E940"/>
    <mergeCell ref="F939:F940"/>
    <mergeCell ref="G939:G940"/>
    <mergeCell ref="H939:I939"/>
    <mergeCell ref="J939:K939"/>
    <mergeCell ref="L939:L940"/>
    <mergeCell ref="B927:B928"/>
    <mergeCell ref="C927:C928"/>
    <mergeCell ref="D927:D928"/>
    <mergeCell ref="E927:E928"/>
    <mergeCell ref="F927:F928"/>
    <mergeCell ref="G927:G928"/>
    <mergeCell ref="H927:I927"/>
    <mergeCell ref="J927:K927"/>
    <mergeCell ref="L927:L928"/>
    <mergeCell ref="M927:N928"/>
    <mergeCell ref="H929:H937"/>
    <mergeCell ref="I929:I937"/>
    <mergeCell ref="H924:H925"/>
    <mergeCell ref="I924:I925"/>
    <mergeCell ref="B922:B923"/>
    <mergeCell ref="C922:C923"/>
    <mergeCell ref="D922:D923"/>
    <mergeCell ref="E922:E923"/>
    <mergeCell ref="F922:F923"/>
    <mergeCell ref="G922:G923"/>
    <mergeCell ref="H922:I922"/>
    <mergeCell ref="J922:K922"/>
    <mergeCell ref="L922:L923"/>
    <mergeCell ref="J914:K914"/>
    <mergeCell ref="L914:L915"/>
    <mergeCell ref="M914:N915"/>
    <mergeCell ref="H916:H920"/>
    <mergeCell ref="I916:I920"/>
    <mergeCell ref="B914:B915"/>
    <mergeCell ref="C914:C915"/>
    <mergeCell ref="D914:D915"/>
    <mergeCell ref="E914:E915"/>
    <mergeCell ref="F914:F915"/>
    <mergeCell ref="G914:G915"/>
    <mergeCell ref="H914:I914"/>
    <mergeCell ref="H908:H912"/>
    <mergeCell ref="I908:I912"/>
    <mergeCell ref="J899:K899"/>
    <mergeCell ref="L899:L900"/>
    <mergeCell ref="M899:N900"/>
    <mergeCell ref="H901:H904"/>
    <mergeCell ref="I901:I904"/>
    <mergeCell ref="B906:B907"/>
    <mergeCell ref="C906:C907"/>
    <mergeCell ref="D906:D907"/>
    <mergeCell ref="E906:E907"/>
    <mergeCell ref="F906:F907"/>
    <mergeCell ref="G906:G907"/>
    <mergeCell ref="H906:I906"/>
    <mergeCell ref="J906:K906"/>
    <mergeCell ref="L906:L907"/>
    <mergeCell ref="M906:N907"/>
    <mergeCell ref="H893:H897"/>
    <mergeCell ref="I893:I897"/>
    <mergeCell ref="B899:B900"/>
    <mergeCell ref="C899:C900"/>
    <mergeCell ref="D899:D900"/>
    <mergeCell ref="E899:E900"/>
    <mergeCell ref="F899:F900"/>
    <mergeCell ref="G899:G900"/>
    <mergeCell ref="H899:I899"/>
    <mergeCell ref="J883:K883"/>
    <mergeCell ref="L883:L884"/>
    <mergeCell ref="M883:N884"/>
    <mergeCell ref="H885:H889"/>
    <mergeCell ref="I885:I889"/>
    <mergeCell ref="B891:B892"/>
    <mergeCell ref="C891:C892"/>
    <mergeCell ref="D891:D892"/>
    <mergeCell ref="E891:E892"/>
    <mergeCell ref="F891:F892"/>
    <mergeCell ref="G891:G892"/>
    <mergeCell ref="H891:I891"/>
    <mergeCell ref="J891:K891"/>
    <mergeCell ref="L891:L892"/>
    <mergeCell ref="M891:N892"/>
    <mergeCell ref="H877:H881"/>
    <mergeCell ref="I877:I881"/>
    <mergeCell ref="B883:B884"/>
    <mergeCell ref="C883:C884"/>
    <mergeCell ref="D883:D884"/>
    <mergeCell ref="E883:E884"/>
    <mergeCell ref="F883:F884"/>
    <mergeCell ref="G883:G884"/>
    <mergeCell ref="H883:I883"/>
    <mergeCell ref="J867:K867"/>
    <mergeCell ref="L867:L868"/>
    <mergeCell ref="M867:N868"/>
    <mergeCell ref="H869:H873"/>
    <mergeCell ref="I869:I873"/>
    <mergeCell ref="B875:B876"/>
    <mergeCell ref="C875:C876"/>
    <mergeCell ref="D875:D876"/>
    <mergeCell ref="E875:E876"/>
    <mergeCell ref="F875:F876"/>
    <mergeCell ref="G875:G876"/>
    <mergeCell ref="H875:I875"/>
    <mergeCell ref="J875:K875"/>
    <mergeCell ref="L875:L876"/>
    <mergeCell ref="M875:N876"/>
    <mergeCell ref="H863:H865"/>
    <mergeCell ref="I863:I865"/>
    <mergeCell ref="B867:B868"/>
    <mergeCell ref="C867:C868"/>
    <mergeCell ref="D867:D868"/>
    <mergeCell ref="E867:E868"/>
    <mergeCell ref="F867:F868"/>
    <mergeCell ref="G867:G868"/>
    <mergeCell ref="H867:I867"/>
    <mergeCell ref="M853:N854"/>
    <mergeCell ref="H855:H859"/>
    <mergeCell ref="I855:I859"/>
    <mergeCell ref="B861:B862"/>
    <mergeCell ref="C861:C862"/>
    <mergeCell ref="D861:D862"/>
    <mergeCell ref="E861:E862"/>
    <mergeCell ref="F861:F862"/>
    <mergeCell ref="G861:G862"/>
    <mergeCell ref="H861:I861"/>
    <mergeCell ref="J861:K861"/>
    <mergeCell ref="L861:L862"/>
    <mergeCell ref="M861:N862"/>
    <mergeCell ref="B853:B854"/>
    <mergeCell ref="C853:C854"/>
    <mergeCell ref="D853:D854"/>
    <mergeCell ref="E853:E854"/>
    <mergeCell ref="F853:F854"/>
    <mergeCell ref="G853:G854"/>
    <mergeCell ref="H853:I853"/>
    <mergeCell ref="J853:K853"/>
    <mergeCell ref="L853:L854"/>
    <mergeCell ref="J827:K827"/>
    <mergeCell ref="L827:L828"/>
    <mergeCell ref="M827:N828"/>
    <mergeCell ref="H829:H831"/>
    <mergeCell ref="I829:I831"/>
    <mergeCell ref="H823:H825"/>
    <mergeCell ref="I823:I825"/>
    <mergeCell ref="B827:B828"/>
    <mergeCell ref="C827:C828"/>
    <mergeCell ref="D827:D828"/>
    <mergeCell ref="E827:E828"/>
    <mergeCell ref="F827:F828"/>
    <mergeCell ref="G827:G828"/>
    <mergeCell ref="H827:I827"/>
    <mergeCell ref="J808:K808"/>
    <mergeCell ref="L808:L809"/>
    <mergeCell ref="M808:N809"/>
    <mergeCell ref="H810:H819"/>
    <mergeCell ref="I810:I819"/>
    <mergeCell ref="B821:B822"/>
    <mergeCell ref="C821:C822"/>
    <mergeCell ref="D821:D822"/>
    <mergeCell ref="E821:E822"/>
    <mergeCell ref="F821:F822"/>
    <mergeCell ref="G821:G822"/>
    <mergeCell ref="H821:I821"/>
    <mergeCell ref="J821:K821"/>
    <mergeCell ref="L821:L822"/>
    <mergeCell ref="M821:N822"/>
    <mergeCell ref="H797:H806"/>
    <mergeCell ref="I797:I806"/>
    <mergeCell ref="B808:B809"/>
    <mergeCell ref="C808:C809"/>
    <mergeCell ref="D808:D809"/>
    <mergeCell ref="E808:E809"/>
    <mergeCell ref="F808:F809"/>
    <mergeCell ref="G808:G809"/>
    <mergeCell ref="H808:I808"/>
    <mergeCell ref="J782:K782"/>
    <mergeCell ref="L782:L783"/>
    <mergeCell ref="M782:N783"/>
    <mergeCell ref="H784:H793"/>
    <mergeCell ref="I784:I793"/>
    <mergeCell ref="B795:B796"/>
    <mergeCell ref="C795:C796"/>
    <mergeCell ref="D795:D796"/>
    <mergeCell ref="E795:E796"/>
    <mergeCell ref="F795:F796"/>
    <mergeCell ref="G795:G796"/>
    <mergeCell ref="H795:I795"/>
    <mergeCell ref="J795:K795"/>
    <mergeCell ref="L795:L796"/>
    <mergeCell ref="M795:N796"/>
    <mergeCell ref="H766:H780"/>
    <mergeCell ref="I766:I780"/>
    <mergeCell ref="B782:B783"/>
    <mergeCell ref="C782:C783"/>
    <mergeCell ref="D782:D783"/>
    <mergeCell ref="E782:E783"/>
    <mergeCell ref="F782:F783"/>
    <mergeCell ref="G782:G783"/>
    <mergeCell ref="H782:I782"/>
    <mergeCell ref="J746:K746"/>
    <mergeCell ref="L746:L747"/>
    <mergeCell ref="M746:N747"/>
    <mergeCell ref="H748:H762"/>
    <mergeCell ref="I748:I762"/>
    <mergeCell ref="B764:B765"/>
    <mergeCell ref="C764:C765"/>
    <mergeCell ref="D764:D765"/>
    <mergeCell ref="E764:E765"/>
    <mergeCell ref="F764:F765"/>
    <mergeCell ref="G764:G765"/>
    <mergeCell ref="H764:I764"/>
    <mergeCell ref="J764:K764"/>
    <mergeCell ref="L764:L765"/>
    <mergeCell ref="M764:N765"/>
    <mergeCell ref="H730:H744"/>
    <mergeCell ref="I730:I744"/>
    <mergeCell ref="B746:B747"/>
    <mergeCell ref="C746:C747"/>
    <mergeCell ref="D746:D747"/>
    <mergeCell ref="E746:E747"/>
    <mergeCell ref="F746:F747"/>
    <mergeCell ref="G746:G747"/>
    <mergeCell ref="H746:I746"/>
    <mergeCell ref="J710:K710"/>
    <mergeCell ref="L710:L711"/>
    <mergeCell ref="M710:N711"/>
    <mergeCell ref="H712:H726"/>
    <mergeCell ref="I712:I726"/>
    <mergeCell ref="B728:B729"/>
    <mergeCell ref="C728:C729"/>
    <mergeCell ref="D728:D729"/>
    <mergeCell ref="E728:E729"/>
    <mergeCell ref="F728:F729"/>
    <mergeCell ref="G728:G729"/>
    <mergeCell ref="H728:I728"/>
    <mergeCell ref="J728:K728"/>
    <mergeCell ref="L728:L729"/>
    <mergeCell ref="M728:N729"/>
    <mergeCell ref="H693:H708"/>
    <mergeCell ref="I693:I708"/>
    <mergeCell ref="B710:B711"/>
    <mergeCell ref="C710:C711"/>
    <mergeCell ref="D710:D711"/>
    <mergeCell ref="E710:E711"/>
    <mergeCell ref="F710:F711"/>
    <mergeCell ref="G710:G711"/>
    <mergeCell ref="H710:I710"/>
    <mergeCell ref="J673:K673"/>
    <mergeCell ref="L673:L674"/>
    <mergeCell ref="M673:N674"/>
    <mergeCell ref="H675:H689"/>
    <mergeCell ref="I675:I689"/>
    <mergeCell ref="B691:B692"/>
    <mergeCell ref="C691:C692"/>
    <mergeCell ref="D691:D692"/>
    <mergeCell ref="E691:E692"/>
    <mergeCell ref="F691:F692"/>
    <mergeCell ref="G691:G692"/>
    <mergeCell ref="H691:I691"/>
    <mergeCell ref="J691:K691"/>
    <mergeCell ref="L691:L692"/>
    <mergeCell ref="M691:N692"/>
    <mergeCell ref="H657:H671"/>
    <mergeCell ref="I657:I671"/>
    <mergeCell ref="B673:B674"/>
    <mergeCell ref="C673:C674"/>
    <mergeCell ref="D673:D674"/>
    <mergeCell ref="E673:E674"/>
    <mergeCell ref="F673:F674"/>
    <mergeCell ref="G673:G674"/>
    <mergeCell ref="H673:I673"/>
    <mergeCell ref="J637:K637"/>
    <mergeCell ref="L637:L638"/>
    <mergeCell ref="M637:N638"/>
    <mergeCell ref="H639:H653"/>
    <mergeCell ref="I639:I653"/>
    <mergeCell ref="B655:B656"/>
    <mergeCell ref="C655:C656"/>
    <mergeCell ref="D655:D656"/>
    <mergeCell ref="E655:E656"/>
    <mergeCell ref="F655:F656"/>
    <mergeCell ref="G655:G656"/>
    <mergeCell ref="H655:I655"/>
    <mergeCell ref="J655:K655"/>
    <mergeCell ref="L655:L656"/>
    <mergeCell ref="M655:N656"/>
    <mergeCell ref="H621:H635"/>
    <mergeCell ref="I621:I635"/>
    <mergeCell ref="B637:B638"/>
    <mergeCell ref="C637:C638"/>
    <mergeCell ref="D637:D638"/>
    <mergeCell ref="E637:E638"/>
    <mergeCell ref="F637:F638"/>
    <mergeCell ref="G637:G638"/>
    <mergeCell ref="H637:I637"/>
    <mergeCell ref="J601:K601"/>
    <mergeCell ref="L601:L602"/>
    <mergeCell ref="M601:N602"/>
    <mergeCell ref="H603:H617"/>
    <mergeCell ref="I603:I617"/>
    <mergeCell ref="B619:B620"/>
    <mergeCell ref="C619:C620"/>
    <mergeCell ref="D619:D620"/>
    <mergeCell ref="E619:E620"/>
    <mergeCell ref="F619:F620"/>
    <mergeCell ref="G619:G620"/>
    <mergeCell ref="H619:I619"/>
    <mergeCell ref="J619:K619"/>
    <mergeCell ref="L619:L620"/>
    <mergeCell ref="M619:N620"/>
    <mergeCell ref="H584:H599"/>
    <mergeCell ref="I584:I599"/>
    <mergeCell ref="B601:B602"/>
    <mergeCell ref="C601:C602"/>
    <mergeCell ref="D601:D602"/>
    <mergeCell ref="E601:E602"/>
    <mergeCell ref="F601:F602"/>
    <mergeCell ref="G601:G602"/>
    <mergeCell ref="H601:I601"/>
    <mergeCell ref="J564:K564"/>
    <mergeCell ref="L564:L565"/>
    <mergeCell ref="M564:N565"/>
    <mergeCell ref="H566:H580"/>
    <mergeCell ref="I566:I580"/>
    <mergeCell ref="B582:B583"/>
    <mergeCell ref="C582:C583"/>
    <mergeCell ref="D582:D583"/>
    <mergeCell ref="E582:E583"/>
    <mergeCell ref="F582:F583"/>
    <mergeCell ref="G582:G583"/>
    <mergeCell ref="H582:I582"/>
    <mergeCell ref="J582:K582"/>
    <mergeCell ref="L582:L583"/>
    <mergeCell ref="M582:N583"/>
    <mergeCell ref="H550:H562"/>
    <mergeCell ref="I550:I562"/>
    <mergeCell ref="B564:B565"/>
    <mergeCell ref="C564:C565"/>
    <mergeCell ref="D564:D565"/>
    <mergeCell ref="E564:E565"/>
    <mergeCell ref="F564:F565"/>
    <mergeCell ref="G564:G565"/>
    <mergeCell ref="H564:I564"/>
    <mergeCell ref="J532:K532"/>
    <mergeCell ref="L532:L533"/>
    <mergeCell ref="M532:N533"/>
    <mergeCell ref="H534:H546"/>
    <mergeCell ref="I534:I546"/>
    <mergeCell ref="B548:B549"/>
    <mergeCell ref="C548:C549"/>
    <mergeCell ref="D548:D549"/>
    <mergeCell ref="E548:E549"/>
    <mergeCell ref="F548:F549"/>
    <mergeCell ref="G548:G549"/>
    <mergeCell ref="H548:I548"/>
    <mergeCell ref="J548:K548"/>
    <mergeCell ref="L548:L549"/>
    <mergeCell ref="M548:N549"/>
    <mergeCell ref="H518:H530"/>
    <mergeCell ref="I518:I530"/>
    <mergeCell ref="B532:B533"/>
    <mergeCell ref="C532:C533"/>
    <mergeCell ref="D532:D533"/>
    <mergeCell ref="E532:E533"/>
    <mergeCell ref="F532:F533"/>
    <mergeCell ref="G532:G533"/>
    <mergeCell ref="H532:I532"/>
    <mergeCell ref="J500:K500"/>
    <mergeCell ref="L500:L501"/>
    <mergeCell ref="M500:N501"/>
    <mergeCell ref="H502:H514"/>
    <mergeCell ref="I502:I514"/>
    <mergeCell ref="B516:B517"/>
    <mergeCell ref="C516:C517"/>
    <mergeCell ref="D516:D517"/>
    <mergeCell ref="E516:E517"/>
    <mergeCell ref="F516:F517"/>
    <mergeCell ref="G516:G517"/>
    <mergeCell ref="H516:I516"/>
    <mergeCell ref="J516:K516"/>
    <mergeCell ref="L516:L517"/>
    <mergeCell ref="M516:N517"/>
    <mergeCell ref="H485:H498"/>
    <mergeCell ref="I485:I498"/>
    <mergeCell ref="B500:B501"/>
    <mergeCell ref="C500:C501"/>
    <mergeCell ref="D500:D501"/>
    <mergeCell ref="E500:E501"/>
    <mergeCell ref="F500:F501"/>
    <mergeCell ref="G500:G501"/>
    <mergeCell ref="H500:I500"/>
    <mergeCell ref="J467:K467"/>
    <mergeCell ref="L467:L468"/>
    <mergeCell ref="M467:N468"/>
    <mergeCell ref="H469:H481"/>
    <mergeCell ref="I469:I481"/>
    <mergeCell ref="B483:B484"/>
    <mergeCell ref="C483:C484"/>
    <mergeCell ref="D483:D484"/>
    <mergeCell ref="E483:E484"/>
    <mergeCell ref="F483:F484"/>
    <mergeCell ref="G483:G484"/>
    <mergeCell ref="H483:I483"/>
    <mergeCell ref="J483:K483"/>
    <mergeCell ref="L483:L484"/>
    <mergeCell ref="M483:N484"/>
    <mergeCell ref="H451:H465"/>
    <mergeCell ref="I451:I465"/>
    <mergeCell ref="B467:B468"/>
    <mergeCell ref="C467:C468"/>
    <mergeCell ref="D467:D468"/>
    <mergeCell ref="E467:E468"/>
    <mergeCell ref="F467:F468"/>
    <mergeCell ref="G467:G468"/>
    <mergeCell ref="H467:I467"/>
    <mergeCell ref="J431:K431"/>
    <mergeCell ref="L431:L432"/>
    <mergeCell ref="M431:N432"/>
    <mergeCell ref="H433:H447"/>
    <mergeCell ref="I433:I447"/>
    <mergeCell ref="B449:B450"/>
    <mergeCell ref="C449:C450"/>
    <mergeCell ref="D449:D450"/>
    <mergeCell ref="E449:E450"/>
    <mergeCell ref="F449:F450"/>
    <mergeCell ref="G449:G450"/>
    <mergeCell ref="H449:I449"/>
    <mergeCell ref="J449:K449"/>
    <mergeCell ref="L449:L450"/>
    <mergeCell ref="M449:N450"/>
    <mergeCell ref="H415:H429"/>
    <mergeCell ref="I415:I429"/>
    <mergeCell ref="B431:B432"/>
    <mergeCell ref="C431:C432"/>
    <mergeCell ref="D431:D432"/>
    <mergeCell ref="E431:E432"/>
    <mergeCell ref="F431:F432"/>
    <mergeCell ref="G431:G432"/>
    <mergeCell ref="H431:I431"/>
    <mergeCell ref="J395:K395"/>
    <mergeCell ref="L395:L396"/>
    <mergeCell ref="M395:N396"/>
    <mergeCell ref="H397:H411"/>
    <mergeCell ref="I397:I411"/>
    <mergeCell ref="B413:B414"/>
    <mergeCell ref="C413:C414"/>
    <mergeCell ref="D413:D414"/>
    <mergeCell ref="E413:E414"/>
    <mergeCell ref="F413:F414"/>
    <mergeCell ref="G413:G414"/>
    <mergeCell ref="H413:I413"/>
    <mergeCell ref="J413:K413"/>
    <mergeCell ref="L413:L414"/>
    <mergeCell ref="M413:N414"/>
    <mergeCell ref="J233:K233"/>
    <mergeCell ref="L233:L234"/>
    <mergeCell ref="M233:N234"/>
    <mergeCell ref="H235:H247"/>
    <mergeCell ref="I235:I247"/>
    <mergeCell ref="H219:H231"/>
    <mergeCell ref="I219:I231"/>
    <mergeCell ref="B233:B234"/>
    <mergeCell ref="C233:C234"/>
    <mergeCell ref="D233:D234"/>
    <mergeCell ref="E233:E234"/>
    <mergeCell ref="F233:F234"/>
    <mergeCell ref="G233:G234"/>
    <mergeCell ref="H233:I233"/>
    <mergeCell ref="G217:G218"/>
    <mergeCell ref="H217:I217"/>
    <mergeCell ref="J217:K217"/>
    <mergeCell ref="L217:L218"/>
    <mergeCell ref="M217:N218"/>
    <mergeCell ref="B217:B218"/>
    <mergeCell ref="C217:C218"/>
    <mergeCell ref="D217:D218"/>
    <mergeCell ref="E217:E218"/>
    <mergeCell ref="F217:F218"/>
    <mergeCell ref="J201:K201"/>
    <mergeCell ref="L201:L202"/>
    <mergeCell ref="M201:N202"/>
    <mergeCell ref="H203:H215"/>
    <mergeCell ref="I203:I215"/>
    <mergeCell ref="H187:H199"/>
    <mergeCell ref="I187:I199"/>
    <mergeCell ref="B201:B202"/>
    <mergeCell ref="C201:C202"/>
    <mergeCell ref="D201:D202"/>
    <mergeCell ref="E201:E202"/>
    <mergeCell ref="F201:F202"/>
    <mergeCell ref="G201:G202"/>
    <mergeCell ref="H201:I201"/>
    <mergeCell ref="G185:G186"/>
    <mergeCell ref="H185:I185"/>
    <mergeCell ref="J185:K185"/>
    <mergeCell ref="L185:L186"/>
    <mergeCell ref="M185:N186"/>
    <mergeCell ref="B185:B186"/>
    <mergeCell ref="C185:C186"/>
    <mergeCell ref="D185:D186"/>
    <mergeCell ref="E185:E186"/>
    <mergeCell ref="F185:F186"/>
    <mergeCell ref="J168:K168"/>
    <mergeCell ref="L168:L169"/>
    <mergeCell ref="M168:N169"/>
    <mergeCell ref="H170:H183"/>
    <mergeCell ref="I170:I183"/>
    <mergeCell ref="H154:H166"/>
    <mergeCell ref="I154:I166"/>
    <mergeCell ref="B168:B169"/>
    <mergeCell ref="C168:C169"/>
    <mergeCell ref="D168:D169"/>
    <mergeCell ref="E168:E169"/>
    <mergeCell ref="F168:F169"/>
    <mergeCell ref="G168:G169"/>
    <mergeCell ref="H168:I168"/>
    <mergeCell ref="G152:G153"/>
    <mergeCell ref="H152:I152"/>
    <mergeCell ref="J152:K152"/>
    <mergeCell ref="L152:L153"/>
    <mergeCell ref="M152:N153"/>
    <mergeCell ref="B152:B153"/>
    <mergeCell ref="C152:C153"/>
    <mergeCell ref="D152:D153"/>
    <mergeCell ref="E152:E153"/>
    <mergeCell ref="F152:F153"/>
    <mergeCell ref="J141:K141"/>
    <mergeCell ref="L141:L142"/>
    <mergeCell ref="M141:N142"/>
    <mergeCell ref="H143:H150"/>
    <mergeCell ref="I143:I150"/>
    <mergeCell ref="H132:H139"/>
    <mergeCell ref="I132:I139"/>
    <mergeCell ref="B141:B142"/>
    <mergeCell ref="C141:C142"/>
    <mergeCell ref="D141:D142"/>
    <mergeCell ref="E141:E142"/>
    <mergeCell ref="F141:F142"/>
    <mergeCell ref="G141:G142"/>
    <mergeCell ref="H141:I141"/>
    <mergeCell ref="G130:G131"/>
    <mergeCell ref="H130:I130"/>
    <mergeCell ref="J130:K130"/>
    <mergeCell ref="L130:L131"/>
    <mergeCell ref="M130:N131"/>
    <mergeCell ref="B130:B131"/>
    <mergeCell ref="C130:C131"/>
    <mergeCell ref="D130:D131"/>
    <mergeCell ref="E130:E131"/>
    <mergeCell ref="F130:F131"/>
    <mergeCell ref="C84:C85"/>
    <mergeCell ref="D84:D85"/>
    <mergeCell ref="E84:E85"/>
    <mergeCell ref="F84:F85"/>
    <mergeCell ref="J119:K119"/>
    <mergeCell ref="L119:L120"/>
    <mergeCell ref="M119:N120"/>
    <mergeCell ref="H121:H128"/>
    <mergeCell ref="I121:I128"/>
    <mergeCell ref="H109:H117"/>
    <mergeCell ref="I109:I117"/>
    <mergeCell ref="B119:B120"/>
    <mergeCell ref="C119:C120"/>
    <mergeCell ref="D119:D120"/>
    <mergeCell ref="E119:E120"/>
    <mergeCell ref="F119:F120"/>
    <mergeCell ref="G119:G120"/>
    <mergeCell ref="H119:I119"/>
    <mergeCell ref="G107:G108"/>
    <mergeCell ref="H107:I107"/>
    <mergeCell ref="J107:K107"/>
    <mergeCell ref="L107:L108"/>
    <mergeCell ref="M107:N108"/>
    <mergeCell ref="B107:B108"/>
    <mergeCell ref="C107:C108"/>
    <mergeCell ref="D107:D108"/>
    <mergeCell ref="E107:E108"/>
    <mergeCell ref="F107:F108"/>
    <mergeCell ref="G63:G64"/>
    <mergeCell ref="H63:I63"/>
    <mergeCell ref="L53:L54"/>
    <mergeCell ref="M53:N54"/>
    <mergeCell ref="B53:B54"/>
    <mergeCell ref="C53:C54"/>
    <mergeCell ref="D53:D54"/>
    <mergeCell ref="E53:E54"/>
    <mergeCell ref="F53:F54"/>
    <mergeCell ref="J63:K63"/>
    <mergeCell ref="L63:L64"/>
    <mergeCell ref="M63:N64"/>
    <mergeCell ref="J95:K95"/>
    <mergeCell ref="L95:L96"/>
    <mergeCell ref="M95:N96"/>
    <mergeCell ref="H97:H105"/>
    <mergeCell ref="I97:I105"/>
    <mergeCell ref="H86:H93"/>
    <mergeCell ref="I86:I93"/>
    <mergeCell ref="B95:B96"/>
    <mergeCell ref="C95:C96"/>
    <mergeCell ref="D95:D96"/>
    <mergeCell ref="E95:E96"/>
    <mergeCell ref="F95:F96"/>
    <mergeCell ref="G95:G96"/>
    <mergeCell ref="H95:I95"/>
    <mergeCell ref="G84:G85"/>
    <mergeCell ref="H84:I84"/>
    <mergeCell ref="J84:K84"/>
    <mergeCell ref="L84:L85"/>
    <mergeCell ref="M84:N85"/>
    <mergeCell ref="B84:B85"/>
    <mergeCell ref="L43:L44"/>
    <mergeCell ref="M43:N44"/>
    <mergeCell ref="H45:H51"/>
    <mergeCell ref="I45:I51"/>
    <mergeCell ref="G32:G33"/>
    <mergeCell ref="H32:I32"/>
    <mergeCell ref="B43:B44"/>
    <mergeCell ref="C43:C44"/>
    <mergeCell ref="D43:D44"/>
    <mergeCell ref="E43:E44"/>
    <mergeCell ref="F43:F44"/>
    <mergeCell ref="G43:G44"/>
    <mergeCell ref="H43:I43"/>
    <mergeCell ref="B32:B33"/>
    <mergeCell ref="C32:C33"/>
    <mergeCell ref="D32:D33"/>
    <mergeCell ref="E32:E33"/>
    <mergeCell ref="F32:F33"/>
    <mergeCell ref="J32:K32"/>
    <mergeCell ref="L32:L33"/>
    <mergeCell ref="M32:N33"/>
    <mergeCell ref="H34:H41"/>
    <mergeCell ref="I34:I41"/>
    <mergeCell ref="M21:N22"/>
    <mergeCell ref="H23:H30"/>
    <mergeCell ref="I23:I30"/>
    <mergeCell ref="H13:H19"/>
    <mergeCell ref="I13:I19"/>
    <mergeCell ref="F8:G8"/>
    <mergeCell ref="H8:I8"/>
    <mergeCell ref="F11:F12"/>
    <mergeCell ref="M8:N9"/>
    <mergeCell ref="L11:L12"/>
    <mergeCell ref="M11:N12"/>
    <mergeCell ref="H11:I11"/>
    <mergeCell ref="J8:K8"/>
    <mergeCell ref="G21:G22"/>
    <mergeCell ref="H21:I21"/>
    <mergeCell ref="F21:F22"/>
    <mergeCell ref="J21:K21"/>
    <mergeCell ref="L21:L22"/>
    <mergeCell ref="B11:B12"/>
    <mergeCell ref="C11:C12"/>
    <mergeCell ref="D11:D12"/>
    <mergeCell ref="E11:E12"/>
    <mergeCell ref="G11:G12"/>
    <mergeCell ref="J11:K11"/>
    <mergeCell ref="B8:B9"/>
    <mergeCell ref="B249:B250"/>
    <mergeCell ref="C249:C250"/>
    <mergeCell ref="D249:D250"/>
    <mergeCell ref="E249:E250"/>
    <mergeCell ref="F249:F250"/>
    <mergeCell ref="G249:G250"/>
    <mergeCell ref="H249:I249"/>
    <mergeCell ref="J249:K249"/>
    <mergeCell ref="B21:B22"/>
    <mergeCell ref="C21:C22"/>
    <mergeCell ref="D21:D22"/>
    <mergeCell ref="E21:E22"/>
    <mergeCell ref="J43:K43"/>
    <mergeCell ref="G53:G54"/>
    <mergeCell ref="H53:I53"/>
    <mergeCell ref="J53:K53"/>
    <mergeCell ref="H65:H71"/>
    <mergeCell ref="I65:I71"/>
    <mergeCell ref="H55:H61"/>
    <mergeCell ref="I55:I61"/>
    <mergeCell ref="B63:B64"/>
    <mergeCell ref="C63:C64"/>
    <mergeCell ref="D63:D64"/>
    <mergeCell ref="E63:E64"/>
    <mergeCell ref="F63:F64"/>
    <mergeCell ref="L249:L250"/>
    <mergeCell ref="M249:N250"/>
    <mergeCell ref="H251:H265"/>
    <mergeCell ref="I251:I265"/>
    <mergeCell ref="B267:B268"/>
    <mergeCell ref="C267:C268"/>
    <mergeCell ref="D267:D268"/>
    <mergeCell ref="E267:E268"/>
    <mergeCell ref="F267:F268"/>
    <mergeCell ref="G267:G268"/>
    <mergeCell ref="H267:I267"/>
    <mergeCell ref="J267:K267"/>
    <mergeCell ref="L267:L268"/>
    <mergeCell ref="M267:N268"/>
    <mergeCell ref="H269:H284"/>
    <mergeCell ref="I269:I284"/>
    <mergeCell ref="B286:B287"/>
    <mergeCell ref="C286:C287"/>
    <mergeCell ref="D286:D287"/>
    <mergeCell ref="E286:E287"/>
    <mergeCell ref="F286:F287"/>
    <mergeCell ref="G286:G287"/>
    <mergeCell ref="H286:I286"/>
    <mergeCell ref="J286:K286"/>
    <mergeCell ref="L286:L287"/>
    <mergeCell ref="M286:N287"/>
    <mergeCell ref="H288:H302"/>
    <mergeCell ref="I288:I302"/>
    <mergeCell ref="B304:B305"/>
    <mergeCell ref="C304:C305"/>
    <mergeCell ref="D304:D305"/>
    <mergeCell ref="E304:E305"/>
    <mergeCell ref="F304:F305"/>
    <mergeCell ref="G304:G305"/>
    <mergeCell ref="H304:I304"/>
    <mergeCell ref="J304:K304"/>
    <mergeCell ref="L304:L305"/>
    <mergeCell ref="M304:N305"/>
    <mergeCell ref="H306:H320"/>
    <mergeCell ref="I306:I320"/>
    <mergeCell ref="B322:B323"/>
    <mergeCell ref="C322:C323"/>
    <mergeCell ref="D322:D323"/>
    <mergeCell ref="E322:E323"/>
    <mergeCell ref="F322:F323"/>
    <mergeCell ref="G322:G323"/>
    <mergeCell ref="H322:I322"/>
    <mergeCell ref="J322:K322"/>
    <mergeCell ref="L322:L323"/>
    <mergeCell ref="M322:N323"/>
    <mergeCell ref="H324:H338"/>
    <mergeCell ref="I324:I338"/>
    <mergeCell ref="B340:B341"/>
    <mergeCell ref="C340:C341"/>
    <mergeCell ref="D340:D341"/>
    <mergeCell ref="E340:E341"/>
    <mergeCell ref="F340:F341"/>
    <mergeCell ref="G340:G341"/>
    <mergeCell ref="H340:I340"/>
    <mergeCell ref="J340:K340"/>
    <mergeCell ref="L340:L341"/>
    <mergeCell ref="M340:N341"/>
    <mergeCell ref="H378:H393"/>
    <mergeCell ref="I378:I393"/>
    <mergeCell ref="M358:N359"/>
    <mergeCell ref="H360:H374"/>
    <mergeCell ref="I360:I374"/>
    <mergeCell ref="B376:B377"/>
    <mergeCell ref="C376:C377"/>
    <mergeCell ref="D376:D377"/>
    <mergeCell ref="E376:E377"/>
    <mergeCell ref="F376:F377"/>
    <mergeCell ref="G376:G377"/>
    <mergeCell ref="H376:I376"/>
    <mergeCell ref="J376:K376"/>
    <mergeCell ref="L376:L377"/>
    <mergeCell ref="M376:N377"/>
    <mergeCell ref="B358:B359"/>
    <mergeCell ref="C358:C359"/>
    <mergeCell ref="E839:E840"/>
    <mergeCell ref="F839:F840"/>
    <mergeCell ref="G839:G840"/>
    <mergeCell ref="H839:I839"/>
    <mergeCell ref="J839:K839"/>
    <mergeCell ref="L839:L840"/>
    <mergeCell ref="M839:N840"/>
    <mergeCell ref="B833:B834"/>
    <mergeCell ref="C833:C834"/>
    <mergeCell ref="D833:D834"/>
    <mergeCell ref="E833:E834"/>
    <mergeCell ref="F833:F834"/>
    <mergeCell ref="G833:G834"/>
    <mergeCell ref="H833:I833"/>
    <mergeCell ref="J833:K833"/>
    <mergeCell ref="L833:L834"/>
    <mergeCell ref="H342:H356"/>
    <mergeCell ref="I342:I356"/>
    <mergeCell ref="B395:B396"/>
    <mergeCell ref="C395:C396"/>
    <mergeCell ref="D395:D396"/>
    <mergeCell ref="E395:E396"/>
    <mergeCell ref="F395:F396"/>
    <mergeCell ref="G395:G396"/>
    <mergeCell ref="H395:I395"/>
    <mergeCell ref="D358:D359"/>
    <mergeCell ref="E358:E359"/>
    <mergeCell ref="F358:F359"/>
    <mergeCell ref="G358:G359"/>
    <mergeCell ref="H358:I358"/>
    <mergeCell ref="J358:K358"/>
    <mergeCell ref="L358:L359"/>
    <mergeCell ref="B73:B74"/>
    <mergeCell ref="C73:C74"/>
    <mergeCell ref="D73:D74"/>
    <mergeCell ref="E73:E74"/>
    <mergeCell ref="F73:F74"/>
    <mergeCell ref="G73:G74"/>
    <mergeCell ref="H73:I73"/>
    <mergeCell ref="J73:K73"/>
    <mergeCell ref="L73:L74"/>
    <mergeCell ref="M73:N74"/>
    <mergeCell ref="H75:H82"/>
    <mergeCell ref="I75:I82"/>
    <mergeCell ref="J845:K845"/>
    <mergeCell ref="L845:L846"/>
    <mergeCell ref="M845:N846"/>
    <mergeCell ref="H847:H851"/>
    <mergeCell ref="I847:I851"/>
    <mergeCell ref="H841:H843"/>
    <mergeCell ref="I841:I843"/>
    <mergeCell ref="B845:B846"/>
    <mergeCell ref="C845:C846"/>
    <mergeCell ref="D845:D846"/>
    <mergeCell ref="E845:E846"/>
    <mergeCell ref="F845:F846"/>
    <mergeCell ref="G845:G846"/>
    <mergeCell ref="H845:I845"/>
    <mergeCell ref="M833:N834"/>
    <mergeCell ref="H835:H837"/>
    <mergeCell ref="I835:I837"/>
    <mergeCell ref="B839:B840"/>
    <mergeCell ref="C839:C840"/>
    <mergeCell ref="D839:D840"/>
  </mergeCells>
  <phoneticPr fontId="2" type="noConversion"/>
  <pageMargins left="0.7" right="0.7" top="0.75" bottom="0.75" header="0.3" footer="0.3"/>
  <pageSetup paperSize="9" scale="30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103">
    <tabColor theme="3" tint="-0.499984740745262"/>
  </sheetPr>
  <dimension ref="A1:L84"/>
  <sheetViews>
    <sheetView showGridLines="0" workbookViewId="0">
      <selection activeCell="B3" sqref="B3:J11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10" max="10" width="21.06640625" bestFit="1" customWidth="1"/>
  </cols>
  <sheetData>
    <row r="1" spans="1:11" ht="28.5">
      <c r="A1" s="953" t="s">
        <v>570</v>
      </c>
      <c r="B1" s="954"/>
      <c r="C1" s="954"/>
      <c r="D1" s="954"/>
      <c r="E1" s="954"/>
      <c r="F1" s="954"/>
      <c r="G1" s="954"/>
      <c r="H1" s="954"/>
      <c r="I1" s="954"/>
      <c r="J1" s="954"/>
    </row>
    <row r="2" spans="1:11" ht="25.15" thickBot="1">
      <c r="A2" s="122" t="s">
        <v>655</v>
      </c>
      <c r="B2" s="123" t="s">
        <v>908</v>
      </c>
      <c r="C2" s="173"/>
      <c r="D2" s="123"/>
      <c r="E2" s="123"/>
      <c r="F2" s="124"/>
      <c r="G2" s="123"/>
      <c r="H2" s="123"/>
      <c r="I2" s="123"/>
      <c r="J2" s="125"/>
    </row>
    <row r="3" spans="1:11">
      <c r="A3" s="955" t="s">
        <v>572</v>
      </c>
      <c r="B3" s="958"/>
      <c r="C3" s="959"/>
      <c r="D3" s="960"/>
      <c r="E3" s="960"/>
      <c r="F3" s="960"/>
      <c r="G3" s="960"/>
      <c r="H3" s="960"/>
      <c r="I3" s="960"/>
      <c r="J3" s="961"/>
    </row>
    <row r="4" spans="1:11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1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1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1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1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1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1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1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65"/>
      <c r="K11" s="128"/>
    </row>
    <row r="12" spans="1:11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72" t="s">
        <v>575</v>
      </c>
      <c r="K12" s="128"/>
    </row>
    <row r="13" spans="1:11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72"/>
      <c r="K13" s="128"/>
    </row>
    <row r="14" spans="1:11" ht="16.5" customHeight="1">
      <c r="A14" s="967"/>
      <c r="B14" s="973" t="s">
        <v>621</v>
      </c>
      <c r="C14" s="129"/>
      <c r="D14" s="130" t="str">
        <f>IFERROR(VLOOKUP(C14,MasterSheet!$B$6:$N$150,2,),"n/a")</f>
        <v>n/a</v>
      </c>
      <c r="E14" s="130" t="str">
        <f>IFERROR(VLOOKUP($C$14,MasterSheet!$B$6:$N$150,3,),"n/a")</f>
        <v>n/a</v>
      </c>
      <c r="F14" s="133"/>
      <c r="G14" s="131" t="str">
        <f>IFERROR(VLOOKUP(C14,MasterSheet!B6:N150,10,),"N/a")</f>
        <v>N/a</v>
      </c>
      <c r="H14" s="134" t="str">
        <f>IFERROR(VLOOKUP(C14,MasterSheet!$B$6:$N$150,11,),"N/a")</f>
        <v>N/a</v>
      </c>
      <c r="I14" s="134" t="str">
        <f>IFERROR(F14*H14,"-")</f>
        <v>-</v>
      </c>
      <c r="J14" s="132"/>
      <c r="K14" s="128"/>
    </row>
    <row r="15" spans="1:11" ht="16.5" customHeight="1">
      <c r="A15" s="967"/>
      <c r="B15" s="973"/>
      <c r="C15" s="129"/>
      <c r="D15" s="130" t="str">
        <f>IFERROR(VLOOKUP($C$15,MasterSheet!$B$6:$N$150,2,),"n/a")</f>
        <v>n/a</v>
      </c>
      <c r="E15" s="130" t="str">
        <f>IFERROR(VLOOKUP($C$15,MasterSheet!$B$6:$N$150,3,),"n/a")</f>
        <v>n/a</v>
      </c>
      <c r="F15" s="133"/>
      <c r="G15" s="131" t="str">
        <f>IFERROR(VLOOKUP($C$15,MasterSheet!$B$6:$N$150,10,),"n/a")</f>
        <v>n/a</v>
      </c>
      <c r="H15" s="134" t="str">
        <f>IFERROR(VLOOKUP(C15,MasterSheet!$B$6:$N$150,11,),"N/a")</f>
        <v>N/a</v>
      </c>
      <c r="I15" s="134" t="str">
        <f>IFERROR(F15*H15,"-")</f>
        <v>-</v>
      </c>
      <c r="J15" s="135"/>
      <c r="K15" s="128"/>
    </row>
    <row r="16" spans="1:11" ht="16.899999999999999">
      <c r="A16" s="967"/>
      <c r="B16" s="973"/>
      <c r="C16" s="129"/>
      <c r="D16" s="136" t="str">
        <f>IFERROR(VLOOKUP($C$16,MasterSheet!$B$6:$N$150,2,),"n/a")</f>
        <v>n/a</v>
      </c>
      <c r="E16" s="136" t="str">
        <f>IFERROR(VLOOKUP($C$16,MasterSheet!$B$6:$N$150,3,),"n/a")</f>
        <v>n/a</v>
      </c>
      <c r="F16" s="133"/>
      <c r="G16" s="131" t="str">
        <f>IFERROR(VLOOKUP($C$16,MasterSheet!$B$6:$N$150,10,),"n/a")</f>
        <v>n/a</v>
      </c>
      <c r="H16" s="134" t="str">
        <f>IFERROR(VLOOKUP(C16,MasterSheet!$B$6:$N$150,11,),"N/a")</f>
        <v>N/a</v>
      </c>
      <c r="I16" s="134" t="str">
        <f>IFERROR(F16*H16,"-")</f>
        <v>-</v>
      </c>
      <c r="J16" s="135"/>
      <c r="K16" s="128"/>
    </row>
    <row r="17" spans="1:12" ht="16.899999999999999">
      <c r="A17" s="967"/>
      <c r="B17" s="973"/>
      <c r="C17" s="129"/>
      <c r="D17" s="130" t="str">
        <f>IFERROR(VLOOKUP(C17,MasterSheet!$B$6:$N$150,2,),"n/a")</f>
        <v>n/a</v>
      </c>
      <c r="E17" s="130" t="str">
        <f>IFERROR(VLOOKUP($C$14,MasterSheet!$B$6:$N$150,3,),"n/a")</f>
        <v>n/a</v>
      </c>
      <c r="F17" s="133"/>
      <c r="G17" s="131" t="str">
        <f>IFERROR(VLOOKUP(C17,MasterSheet!B9:N153,10,),"N/a")</f>
        <v>N/a</v>
      </c>
      <c r="H17" s="134" t="str">
        <f>IFERROR(VLOOKUP(C17,MasterSheet!$B$6:$N$150,11,),"N/a")</f>
        <v>N/a</v>
      </c>
      <c r="I17" s="134" t="str">
        <f t="shared" ref="I17:I28" si="0">IFERROR(F17*H17,"-")</f>
        <v>-</v>
      </c>
      <c r="J17" s="135"/>
      <c r="K17" s="128"/>
    </row>
    <row r="18" spans="1:12" ht="16.899999999999999">
      <c r="A18" s="967"/>
      <c r="B18" s="973"/>
      <c r="C18" s="129"/>
      <c r="D18" s="130" t="str">
        <f>IFERROR(VLOOKUP($C$15,MasterSheet!$B$6:$N$150,2,),"n/a")</f>
        <v>n/a</v>
      </c>
      <c r="E18" s="130" t="str">
        <f>IFERROR(VLOOKUP($C$15,MasterSheet!$B$6:$N$150,3,),"n/a")</f>
        <v>n/a</v>
      </c>
      <c r="F18" s="133"/>
      <c r="G18" s="131" t="str">
        <f>IFERROR(VLOOKUP($C$15,MasterSheet!$B$6:$N$150,10,),"n/a")</f>
        <v>n/a</v>
      </c>
      <c r="H18" s="134" t="str">
        <f>IFERROR(VLOOKUP(C18,MasterSheet!$B$6:$N$150,11,),"N/a")</f>
        <v>N/a</v>
      </c>
      <c r="I18" s="134" t="str">
        <f t="shared" si="0"/>
        <v>-</v>
      </c>
      <c r="J18" s="135"/>
      <c r="K18" s="128"/>
    </row>
    <row r="19" spans="1:12" ht="16.899999999999999">
      <c r="A19" s="967"/>
      <c r="B19" s="973"/>
      <c r="C19" s="129"/>
      <c r="D19" s="136" t="str">
        <f>IFERROR(VLOOKUP($C$16,MasterSheet!$B$6:$N$150,2,),"n/a")</f>
        <v>n/a</v>
      </c>
      <c r="E19" s="136" t="str">
        <f>IFERROR(VLOOKUP($C$16,MasterSheet!$B$6:$N$150,3,),"n/a")</f>
        <v>n/a</v>
      </c>
      <c r="F19" s="133"/>
      <c r="G19" s="131" t="str">
        <f>IFERROR(VLOOKUP($C$16,MasterSheet!$B$6:$N$150,10,),"n/a")</f>
        <v>n/a</v>
      </c>
      <c r="H19" s="134" t="str">
        <f>IFERROR(VLOOKUP(C19,MasterSheet!$B$6:$N$150,11,),"N/a")</f>
        <v>N/a</v>
      </c>
      <c r="I19" s="134" t="str">
        <f t="shared" si="0"/>
        <v>-</v>
      </c>
      <c r="J19" s="135"/>
      <c r="K19" s="128"/>
    </row>
    <row r="20" spans="1:12" ht="16.899999999999999">
      <c r="A20" s="967"/>
      <c r="B20" s="973"/>
      <c r="C20" s="129"/>
      <c r="D20" s="130" t="str">
        <f>IFERROR(VLOOKUP(C20,MasterSheet!$B$6:$N$150,2,),"n/a")</f>
        <v>n/a</v>
      </c>
      <c r="E20" s="130" t="str">
        <f>IFERROR(VLOOKUP($C$14,MasterSheet!$B$6:$N$150,3,),"n/a")</f>
        <v>n/a</v>
      </c>
      <c r="F20" s="133"/>
      <c r="G20" s="131" t="str">
        <f>IFERROR(VLOOKUP(C20,MasterSheet!B12:N155,10,),"N/a")</f>
        <v>N/a</v>
      </c>
      <c r="H20" s="134" t="str">
        <f>IFERROR(VLOOKUP(C20,MasterSheet!$B$6:$N$150,11,),"N/a")</f>
        <v>N/a</v>
      </c>
      <c r="I20" s="134" t="str">
        <f t="shared" si="0"/>
        <v>-</v>
      </c>
      <c r="J20" s="135"/>
      <c r="K20" s="128"/>
    </row>
    <row r="21" spans="1:12" ht="16.899999999999999">
      <c r="A21" s="967"/>
      <c r="B21" s="973"/>
      <c r="C21" s="129"/>
      <c r="D21" s="130" t="str">
        <f>IFERROR(VLOOKUP($C$15,MasterSheet!$B$6:$N$150,2,),"n/a")</f>
        <v>n/a</v>
      </c>
      <c r="E21" s="130" t="str">
        <f>IFERROR(VLOOKUP($C$15,MasterSheet!$B$6:$N$150,3,),"n/a")</f>
        <v>n/a</v>
      </c>
      <c r="F21" s="133"/>
      <c r="G21" s="131" t="str">
        <f>IFERROR(VLOOKUP($C$15,MasterSheet!$B$6:$N$150,10,),"n/a")</f>
        <v>n/a</v>
      </c>
      <c r="H21" s="134" t="str">
        <f>IFERROR(VLOOKUP(C21,MasterSheet!$B$6:$N$150,11,),"N/a")</f>
        <v>N/a</v>
      </c>
      <c r="I21" s="134" t="str">
        <f t="shared" si="0"/>
        <v>-</v>
      </c>
      <c r="J21" s="135"/>
      <c r="K21" s="128"/>
    </row>
    <row r="22" spans="1:12" ht="16.899999999999999">
      <c r="A22" s="967"/>
      <c r="B22" s="973"/>
      <c r="C22" s="129"/>
      <c r="D22" s="136" t="str">
        <f>IFERROR(VLOOKUP($C$16,MasterSheet!$B$6:$N$150,2,),"n/a")</f>
        <v>n/a</v>
      </c>
      <c r="E22" s="136" t="str">
        <f>IFERROR(VLOOKUP($C$16,MasterSheet!$B$6:$N$150,3,),"n/a")</f>
        <v>n/a</v>
      </c>
      <c r="F22" s="133"/>
      <c r="G22" s="131" t="str">
        <f>IFERROR(VLOOKUP($C$16,MasterSheet!$B$6:$N$150,10,),"n/a")</f>
        <v>n/a</v>
      </c>
      <c r="H22" s="134" t="str">
        <f>IFERROR(VLOOKUP(C22,MasterSheet!$B$6:$N$150,11,),"N/a")</f>
        <v>N/a</v>
      </c>
      <c r="I22" s="134" t="str">
        <f t="shared" si="0"/>
        <v>-</v>
      </c>
      <c r="J22" s="135"/>
      <c r="K22" s="128"/>
    </row>
    <row r="23" spans="1:12" ht="16.899999999999999">
      <c r="A23" s="967"/>
      <c r="B23" s="973"/>
      <c r="C23" s="129"/>
      <c r="D23" s="130" t="str">
        <f>IFERROR(VLOOKUP(C23,MasterSheet!$B$6:$N$150,2,),"n/a")</f>
        <v>n/a</v>
      </c>
      <c r="E23" s="130" t="str">
        <f>IFERROR(VLOOKUP($C$14,MasterSheet!$B$6:$N$150,3,),"n/a")</f>
        <v>n/a</v>
      </c>
      <c r="F23" s="133"/>
      <c r="G23" s="131" t="str">
        <f>IFERROR(VLOOKUP(C23,MasterSheet!B15:N158,10,),"N/a")</f>
        <v>N/a</v>
      </c>
      <c r="H23" s="134" t="str">
        <f>IFERROR(VLOOKUP(C23,MasterSheet!$B$6:$N$150,11,),"N/a")</f>
        <v>N/a</v>
      </c>
      <c r="I23" s="134" t="str">
        <f t="shared" si="0"/>
        <v>-</v>
      </c>
      <c r="J23" s="135"/>
      <c r="K23" s="128"/>
    </row>
    <row r="24" spans="1:12" ht="16.899999999999999">
      <c r="A24" s="967"/>
      <c r="B24" s="973"/>
      <c r="C24" s="129"/>
      <c r="D24" s="130" t="str">
        <f>IFERROR(VLOOKUP($C$15,MasterSheet!$B$6:$N$150,2,),"n/a")</f>
        <v>n/a</v>
      </c>
      <c r="E24" s="130" t="s">
        <v>920</v>
      </c>
      <c r="F24" s="133"/>
      <c r="G24" s="131" t="str">
        <f>IFERROR(VLOOKUP($C$15,MasterSheet!$B$6:$N$150,10,),"n/a")</f>
        <v>n/a</v>
      </c>
      <c r="H24" s="134" t="str">
        <f>IFERROR(VLOOKUP(C24,MasterSheet!$B$6:$N$150,11,),"N/a")</f>
        <v>N/a</v>
      </c>
      <c r="I24" s="134" t="str">
        <f t="shared" si="0"/>
        <v>-</v>
      </c>
      <c r="J24" s="135"/>
      <c r="K24" s="128"/>
    </row>
    <row r="25" spans="1:12" ht="16.899999999999999">
      <c r="A25" s="967"/>
      <c r="B25" s="973"/>
      <c r="C25" s="129"/>
      <c r="D25" s="136" t="str">
        <f>IFERROR(VLOOKUP($C$16,MasterSheet!$B$6:$N$150,2,),"n/a")</f>
        <v>n/a</v>
      </c>
      <c r="E25" s="136" t="str">
        <f>IFERROR(VLOOKUP($C$16,MasterSheet!$B$6:$N$150,3,),"n/a")</f>
        <v>n/a</v>
      </c>
      <c r="F25" s="133"/>
      <c r="G25" s="131" t="str">
        <f>IFERROR(VLOOKUP($C$16,MasterSheet!$B$6:$N$150,10,),"n/a")</f>
        <v>n/a</v>
      </c>
      <c r="H25" s="134" t="str">
        <f>IFERROR(VLOOKUP(C25,MasterSheet!$B$6:$N$150,11,),"N/a")</f>
        <v>N/a</v>
      </c>
      <c r="I25" s="134" t="str">
        <f t="shared" si="0"/>
        <v>-</v>
      </c>
      <c r="J25" s="135"/>
      <c r="K25" s="128"/>
    </row>
    <row r="26" spans="1:12" ht="16.899999999999999">
      <c r="A26" s="967"/>
      <c r="B26" s="973"/>
      <c r="C26" s="129"/>
      <c r="D26" s="130" t="str">
        <f>IFERROR(VLOOKUP(C26,MasterSheet!$B$6:$N$150,2,),"n/a")</f>
        <v>n/a</v>
      </c>
      <c r="E26" s="130" t="str">
        <f>IFERROR(VLOOKUP($C$14,MasterSheet!$B$6:$N$150,3,),"n/a")</f>
        <v>n/a</v>
      </c>
      <c r="F26" s="133"/>
      <c r="G26" s="131" t="str">
        <f>IFERROR(VLOOKUP(C26,MasterSheet!B18:N161,10,),"N/a")</f>
        <v>N/a</v>
      </c>
      <c r="H26" s="134" t="str">
        <f>IFERROR(VLOOKUP(C26,MasterSheet!$B$6:$N$150,11,),"N/a")</f>
        <v>N/a</v>
      </c>
      <c r="I26" s="134" t="str">
        <f t="shared" si="0"/>
        <v>-</v>
      </c>
      <c r="J26" s="135"/>
      <c r="K26" s="128"/>
    </row>
    <row r="27" spans="1:12" ht="16.899999999999999">
      <c r="A27" s="967"/>
      <c r="B27" s="973"/>
      <c r="C27" s="129"/>
      <c r="D27" s="130" t="str">
        <f>IFERROR(VLOOKUP($C$15,MasterSheet!$B$6:$N$150,2,),"n/a")</f>
        <v>n/a</v>
      </c>
      <c r="E27" s="130" t="str">
        <f>IFERROR(VLOOKUP($C$15,MasterSheet!$B$6:$N$150,3,),"n/a")</f>
        <v>n/a</v>
      </c>
      <c r="F27" s="133"/>
      <c r="G27" s="131" t="str">
        <f>IFERROR(VLOOKUP($C$15,MasterSheet!$B$6:$N$150,10,),"n/a")</f>
        <v>n/a</v>
      </c>
      <c r="H27" s="134" t="str">
        <f>IFERROR(VLOOKUP(C27,MasterSheet!$B$6:$N$150,11,),"N/a")</f>
        <v>N/a</v>
      </c>
      <c r="I27" s="134" t="str">
        <f t="shared" si="0"/>
        <v>-</v>
      </c>
      <c r="J27" s="137"/>
      <c r="K27" s="128"/>
      <c r="L27" s="68"/>
    </row>
    <row r="28" spans="1:12" ht="16.899999999999999">
      <c r="A28" s="967"/>
      <c r="B28" s="973"/>
      <c r="C28" s="129"/>
      <c r="D28" s="136" t="str">
        <f>IFERROR(VLOOKUP($C$16,MasterSheet!$B$6:$N$150,2,),"n/a")</f>
        <v>n/a</v>
      </c>
      <c r="E28" s="136" t="str">
        <f>IFERROR(VLOOKUP($C$16,MasterSheet!$B$6:$N$150,3,),"n/a")</f>
        <v>n/a</v>
      </c>
      <c r="F28" s="133"/>
      <c r="G28" s="131" t="str">
        <f>IFERROR(VLOOKUP($C$16,MasterSheet!$B$6:$N$150,10,),"n/a")</f>
        <v>n/a</v>
      </c>
      <c r="H28" s="134" t="str">
        <f>IFERROR(VLOOKUP(C28,MasterSheet!$B$6:$N$150,11,),"N/a")</f>
        <v>N/a</v>
      </c>
      <c r="I28" s="134" t="str">
        <f t="shared" si="0"/>
        <v>-</v>
      </c>
      <c r="J28" s="138"/>
      <c r="K28" s="128"/>
    </row>
    <row r="29" spans="1:12" ht="16.899999999999999">
      <c r="A29" s="967"/>
      <c r="B29" s="974" t="s">
        <v>622</v>
      </c>
      <c r="C29" s="139"/>
      <c r="D29" s="140" t="e">
        <f>VLOOKUP(C29,CK!$B$8:$L$11,3,)</f>
        <v>#N/A</v>
      </c>
      <c r="E29" s="140" t="e">
        <f>VLOOKUP(C29,CK!$B$8:$L$11,4,)</f>
        <v>#N/A</v>
      </c>
      <c r="F29" s="239"/>
      <c r="G29" s="141" t="e">
        <f>VLOOKUP(C29,CK!$B$8:$L$11,9,)</f>
        <v>#N/A</v>
      </c>
      <c r="H29" s="142" t="e">
        <f>VLOOKUP(C29,CK!$B$8:$L$11,10,)</f>
        <v>#N/A</v>
      </c>
      <c r="I29" s="142" t="str">
        <f>IFERROR(F29*H29,"-")</f>
        <v>-</v>
      </c>
      <c r="J29" s="143"/>
      <c r="K29" s="128"/>
    </row>
    <row r="30" spans="1:12" ht="16.899999999999999">
      <c r="A30" s="967"/>
      <c r="B30" s="974"/>
      <c r="C30" s="139"/>
      <c r="D30" s="140"/>
      <c r="E30" s="140"/>
      <c r="F30" s="176"/>
      <c r="G30" s="141"/>
      <c r="H30" s="142"/>
      <c r="I30" s="142"/>
      <c r="J30" s="143"/>
      <c r="K30" s="128"/>
    </row>
    <row r="31" spans="1:12" ht="16.899999999999999">
      <c r="A31" s="967"/>
      <c r="B31" s="974"/>
      <c r="C31" s="175"/>
      <c r="D31" s="140"/>
      <c r="E31" s="140"/>
      <c r="F31" s="176"/>
      <c r="G31" s="141"/>
      <c r="H31" s="141"/>
      <c r="I31" s="141"/>
      <c r="J31" s="143"/>
      <c r="K31" s="128"/>
    </row>
    <row r="32" spans="1:12" ht="16.899999999999999">
      <c r="A32" s="967"/>
      <c r="B32" s="975" t="s">
        <v>623</v>
      </c>
      <c r="C32" s="144"/>
      <c r="D32" s="145"/>
      <c r="E32" s="145"/>
      <c r="F32" s="146"/>
      <c r="G32" s="147"/>
      <c r="H32" s="147"/>
      <c r="I32" s="147"/>
      <c r="J32" s="148"/>
      <c r="K32" s="128"/>
    </row>
    <row r="33" spans="1:11" ht="16.899999999999999">
      <c r="A33" s="967"/>
      <c r="B33" s="976"/>
      <c r="C33" s="144"/>
      <c r="D33" s="145"/>
      <c r="E33" s="145"/>
      <c r="F33" s="146"/>
      <c r="G33" s="147"/>
      <c r="H33" s="147"/>
      <c r="I33" s="147"/>
      <c r="J33" s="148"/>
      <c r="K33" s="128"/>
    </row>
    <row r="34" spans="1:11" ht="16.899999999999999">
      <c r="A34" s="967"/>
      <c r="B34" s="976"/>
      <c r="C34" s="144"/>
      <c r="D34" s="149"/>
      <c r="E34" s="149"/>
      <c r="F34" s="146"/>
      <c r="G34" s="147"/>
      <c r="H34" s="147"/>
      <c r="I34" s="147"/>
      <c r="J34" s="148"/>
      <c r="K34" s="128"/>
    </row>
    <row r="35" spans="1:11" ht="17.25" thickBot="1">
      <c r="A35" s="968"/>
      <c r="B35" s="977"/>
      <c r="C35" s="150"/>
      <c r="D35" s="155"/>
      <c r="E35" s="154"/>
      <c r="F35" s="151"/>
      <c r="G35" s="152"/>
      <c r="H35" s="152"/>
      <c r="I35" s="152"/>
      <c r="J35" s="153"/>
      <c r="K35" s="128"/>
    </row>
    <row r="36" spans="1:11" ht="17.25" thickBot="1">
      <c r="A36" s="156"/>
      <c r="B36" s="157" t="s">
        <v>614</v>
      </c>
      <c r="C36" s="935" t="s">
        <v>624</v>
      </c>
      <c r="D36" s="935"/>
      <c r="E36" s="160">
        <f>SUM(I14:I31)</f>
        <v>0</v>
      </c>
      <c r="F36" s="936" t="s">
        <v>625</v>
      </c>
      <c r="G36" s="936"/>
      <c r="H36" s="936"/>
      <c r="I36" s="236">
        <f>SUM(I14:I35)</f>
        <v>0</v>
      </c>
      <c r="J36" s="234" t="s">
        <v>790</v>
      </c>
    </row>
    <row r="37" spans="1:11" ht="17.25" thickBot="1">
      <c r="A37" s="156"/>
      <c r="B37" s="157"/>
      <c r="C37" s="158"/>
      <c r="D37" s="159"/>
      <c r="E37" s="159"/>
      <c r="F37" s="940" t="s">
        <v>789</v>
      </c>
      <c r="G37" s="940"/>
      <c r="H37" s="940"/>
      <c r="I37" s="237">
        <v>100</v>
      </c>
      <c r="J37" s="235">
        <f>IFERROR((I36/I37),"-")</f>
        <v>0</v>
      </c>
    </row>
    <row r="38" spans="1:11" ht="16.149999999999999" thickBot="1">
      <c r="A38" s="70"/>
      <c r="B38" s="97"/>
      <c r="C38" s="97"/>
      <c r="D38" s="97"/>
      <c r="E38" s="97"/>
      <c r="F38" s="98"/>
      <c r="G38" s="97"/>
      <c r="H38" s="97"/>
      <c r="I38" s="97"/>
      <c r="J38" s="127" t="s">
        <v>605</v>
      </c>
    </row>
    <row r="39" spans="1:11" ht="19.149999999999999" hidden="1">
      <c r="A39" s="941" t="s">
        <v>576</v>
      </c>
      <c r="B39" s="942"/>
      <c r="C39" s="942"/>
      <c r="D39" s="942"/>
      <c r="E39" s="942"/>
      <c r="F39" s="942"/>
      <c r="G39" s="942"/>
      <c r="H39" s="942"/>
      <c r="I39" s="942"/>
      <c r="J39" s="943"/>
    </row>
    <row r="40" spans="1:11" ht="16.899999999999999" hidden="1">
      <c r="A40" s="944" t="s">
        <v>577</v>
      </c>
      <c r="B40" s="945"/>
      <c r="C40" s="945"/>
      <c r="D40" s="946"/>
      <c r="E40" s="947" t="s">
        <v>578</v>
      </c>
      <c r="F40" s="947"/>
      <c r="G40" s="947"/>
      <c r="H40" s="947"/>
      <c r="I40" s="947"/>
      <c r="J40" s="948"/>
    </row>
    <row r="41" spans="1:11" ht="16.899999999999999" hidden="1">
      <c r="A41" s="73"/>
      <c r="B41" s="74"/>
      <c r="C41" s="74"/>
      <c r="D41" s="75"/>
      <c r="E41" s="76" t="s">
        <v>579</v>
      </c>
      <c r="F41" s="76"/>
      <c r="G41" s="67"/>
      <c r="H41" s="67"/>
      <c r="I41" s="67"/>
      <c r="J41" s="77"/>
    </row>
    <row r="42" spans="1:11" ht="15.75" hidden="1">
      <c r="A42" s="78"/>
      <c r="B42" s="79"/>
      <c r="C42" s="79"/>
      <c r="D42" s="80"/>
      <c r="E42" s="81" t="s">
        <v>580</v>
      </c>
      <c r="F42" s="82"/>
      <c r="G42" s="82"/>
      <c r="H42" s="82"/>
      <c r="I42" s="82"/>
      <c r="J42" s="83"/>
    </row>
    <row r="43" spans="1:11" ht="15.75" hidden="1">
      <c r="A43" s="78"/>
      <c r="B43" s="79"/>
      <c r="C43" s="79"/>
      <c r="D43" s="80"/>
      <c r="E43" s="76"/>
      <c r="F43" s="84"/>
      <c r="G43" s="79"/>
      <c r="H43" s="79"/>
      <c r="I43" s="79"/>
      <c r="J43" s="83"/>
    </row>
    <row r="44" spans="1:11" ht="15.75" hidden="1">
      <c r="A44" s="78"/>
      <c r="B44" s="79"/>
      <c r="C44" s="79"/>
      <c r="D44" s="80"/>
      <c r="E44" s="76" t="s">
        <v>581</v>
      </c>
      <c r="F44" s="82"/>
      <c r="G44" s="82"/>
      <c r="H44" s="82"/>
      <c r="I44" s="82"/>
      <c r="J44" s="83"/>
    </row>
    <row r="45" spans="1:11" ht="15.75" hidden="1">
      <c r="A45" s="78"/>
      <c r="B45" s="79"/>
      <c r="C45" s="79"/>
      <c r="D45" s="80"/>
      <c r="E45" s="76" t="s">
        <v>582</v>
      </c>
      <c r="F45" s="84"/>
      <c r="G45" s="79"/>
      <c r="H45" s="79"/>
      <c r="I45" s="79"/>
      <c r="J45" s="83"/>
    </row>
    <row r="46" spans="1:11" ht="15.75" hidden="1">
      <c r="A46" s="78"/>
      <c r="B46" s="79"/>
      <c r="C46" s="79"/>
      <c r="D46" s="80"/>
      <c r="E46" s="76" t="s">
        <v>583</v>
      </c>
      <c r="F46" s="84"/>
      <c r="G46" s="79"/>
      <c r="H46" s="79"/>
      <c r="I46" s="79"/>
      <c r="J46" s="83"/>
    </row>
    <row r="47" spans="1:11" ht="15.75" hidden="1">
      <c r="A47" s="78"/>
      <c r="B47" s="79"/>
      <c r="C47" s="79"/>
      <c r="D47" s="80"/>
      <c r="E47" s="76"/>
      <c r="F47" s="84"/>
      <c r="G47" s="79"/>
      <c r="H47" s="79"/>
      <c r="I47" s="79"/>
      <c r="J47" s="83"/>
    </row>
    <row r="48" spans="1:11" ht="15.75" hidden="1">
      <c r="A48" s="78"/>
      <c r="B48" s="79"/>
      <c r="C48" s="79"/>
      <c r="D48" s="80"/>
      <c r="E48" s="76" t="s">
        <v>584</v>
      </c>
      <c r="F48" s="84"/>
      <c r="G48" s="79"/>
      <c r="H48" s="79"/>
      <c r="I48" s="79"/>
      <c r="J48" s="83"/>
    </row>
    <row r="49" spans="1:10" ht="15.75" hidden="1">
      <c r="A49" s="78"/>
      <c r="B49" s="79"/>
      <c r="C49" s="79"/>
      <c r="D49" s="80"/>
      <c r="E49" s="76" t="s">
        <v>585</v>
      </c>
      <c r="F49" s="84"/>
      <c r="G49" s="79"/>
      <c r="H49" s="79"/>
      <c r="I49" s="79"/>
      <c r="J49" s="83"/>
    </row>
    <row r="50" spans="1:10" ht="16.899999999999999" hidden="1">
      <c r="A50" s="937"/>
      <c r="B50" s="938"/>
      <c r="C50" s="938"/>
      <c r="D50" s="939"/>
      <c r="E50" s="76" t="s">
        <v>586</v>
      </c>
      <c r="F50" s="86"/>
      <c r="G50" s="79"/>
      <c r="H50" s="79"/>
      <c r="I50" s="79"/>
      <c r="J50" s="83"/>
    </row>
    <row r="51" spans="1:10" ht="16.899999999999999" hidden="1">
      <c r="A51" s="73"/>
      <c r="B51" s="74"/>
      <c r="C51" s="74"/>
      <c r="D51" s="85"/>
      <c r="E51" s="76" t="s">
        <v>587</v>
      </c>
      <c r="F51" s="86"/>
      <c r="G51" s="79"/>
      <c r="H51" s="79"/>
      <c r="I51" s="79"/>
      <c r="J51" s="83"/>
    </row>
    <row r="52" spans="1:10" ht="16.899999999999999" hidden="1">
      <c r="A52" s="937"/>
      <c r="B52" s="938"/>
      <c r="C52" s="938"/>
      <c r="D52" s="939"/>
      <c r="E52" s="76" t="s">
        <v>588</v>
      </c>
      <c r="F52" s="84"/>
      <c r="G52" s="79"/>
      <c r="H52" s="79"/>
      <c r="I52" s="79"/>
      <c r="J52" s="87"/>
    </row>
    <row r="53" spans="1:10" ht="16.899999999999999" hidden="1">
      <c r="A53" s="73"/>
      <c r="B53" s="74"/>
      <c r="C53" s="74"/>
      <c r="D53" s="85"/>
      <c r="E53" s="76" t="s">
        <v>589</v>
      </c>
      <c r="F53" s="84"/>
      <c r="G53" s="79"/>
      <c r="H53" s="79"/>
      <c r="I53" s="79"/>
      <c r="J53" s="87"/>
    </row>
    <row r="54" spans="1:10" ht="16.899999999999999" hidden="1">
      <c r="A54" s="73"/>
      <c r="B54" s="74"/>
      <c r="C54" s="74"/>
      <c r="D54" s="85"/>
      <c r="E54" s="76" t="s">
        <v>590</v>
      </c>
      <c r="F54" s="84"/>
      <c r="G54" s="79"/>
      <c r="H54" s="79"/>
      <c r="I54" s="79"/>
      <c r="J54" s="87"/>
    </row>
    <row r="55" spans="1:10" ht="16.899999999999999" hidden="1">
      <c r="A55" s="73"/>
      <c r="B55" s="74"/>
      <c r="C55" s="74"/>
      <c r="D55" s="85"/>
      <c r="E55" s="88"/>
      <c r="F55" s="84"/>
      <c r="G55" s="79"/>
      <c r="H55" s="79"/>
      <c r="I55" s="79"/>
      <c r="J55" s="87"/>
    </row>
    <row r="56" spans="1:10" ht="16.899999999999999" hidden="1">
      <c r="A56" s="73"/>
      <c r="B56" s="74"/>
      <c r="C56" s="74"/>
      <c r="D56" s="85"/>
      <c r="E56" s="76" t="s">
        <v>591</v>
      </c>
      <c r="F56" s="84"/>
      <c r="G56" s="79"/>
      <c r="H56" s="79"/>
      <c r="I56" s="79"/>
      <c r="J56" s="87"/>
    </row>
    <row r="57" spans="1:10" ht="16.899999999999999" hidden="1">
      <c r="A57" s="78"/>
      <c r="B57" s="79"/>
      <c r="C57" s="79"/>
      <c r="D57" s="80"/>
      <c r="E57" s="76" t="s">
        <v>592</v>
      </c>
      <c r="F57" s="84"/>
      <c r="G57" s="79"/>
      <c r="H57" s="79"/>
      <c r="I57" s="79"/>
      <c r="J57" s="87"/>
    </row>
    <row r="58" spans="1:10" hidden="1">
      <c r="A58" s="78"/>
      <c r="B58" s="79"/>
      <c r="C58" s="79"/>
      <c r="D58" s="80"/>
      <c r="E58" s="69"/>
      <c r="F58" s="84"/>
      <c r="G58" s="79"/>
      <c r="H58" s="79"/>
      <c r="I58" s="79"/>
      <c r="J58" s="83"/>
    </row>
    <row r="59" spans="1:10" ht="15.75" hidden="1">
      <c r="A59" s="78"/>
      <c r="B59" s="79"/>
      <c r="C59" s="79"/>
      <c r="D59" s="80"/>
      <c r="E59" s="76" t="s">
        <v>593</v>
      </c>
      <c r="F59" s="84"/>
      <c r="G59" s="79"/>
      <c r="H59" s="79"/>
      <c r="I59" s="79"/>
      <c r="J59" s="83"/>
    </row>
    <row r="60" spans="1:10" ht="15.75" hidden="1">
      <c r="A60" s="78"/>
      <c r="B60" s="79"/>
      <c r="C60" s="79"/>
      <c r="D60" s="80"/>
      <c r="E60" s="76" t="s">
        <v>594</v>
      </c>
      <c r="F60" s="84"/>
      <c r="G60" s="79"/>
      <c r="H60" s="79"/>
      <c r="I60" s="79"/>
      <c r="J60" s="83"/>
    </row>
    <row r="61" spans="1:10" ht="15.75" hidden="1">
      <c r="A61" s="78"/>
      <c r="B61" s="79"/>
      <c r="C61" s="79"/>
      <c r="D61" s="80"/>
      <c r="E61" s="76" t="s">
        <v>595</v>
      </c>
      <c r="F61" s="88"/>
      <c r="G61" s="88"/>
      <c r="H61" s="88"/>
      <c r="I61" s="88"/>
      <c r="J61" s="83"/>
    </row>
    <row r="62" spans="1:10" ht="15.75" hidden="1">
      <c r="A62" s="78"/>
      <c r="B62" s="79"/>
      <c r="C62" s="79"/>
      <c r="D62" s="80"/>
      <c r="E62" s="76" t="s">
        <v>596</v>
      </c>
      <c r="F62" s="88"/>
      <c r="G62" s="88"/>
      <c r="H62" s="88"/>
      <c r="I62" s="88"/>
      <c r="J62" s="83"/>
    </row>
    <row r="63" spans="1:10" ht="16.899999999999999" hidden="1">
      <c r="A63" s="937"/>
      <c r="B63" s="938"/>
      <c r="C63" s="938"/>
      <c r="D63" s="939"/>
      <c r="E63" s="76" t="s">
        <v>597</v>
      </c>
      <c r="F63" s="89"/>
      <c r="G63" s="89"/>
      <c r="H63" s="89"/>
      <c r="I63" s="89"/>
      <c r="J63" s="83"/>
    </row>
    <row r="64" spans="1:10" ht="16.899999999999999" hidden="1">
      <c r="A64" s="73"/>
      <c r="B64" s="74"/>
      <c r="C64" s="74"/>
      <c r="D64" s="85"/>
      <c r="E64" s="76" t="s">
        <v>598</v>
      </c>
      <c r="F64" s="89"/>
      <c r="G64" s="89"/>
      <c r="H64" s="89"/>
      <c r="I64" s="89"/>
      <c r="J64" s="83"/>
    </row>
    <row r="65" spans="1:10" ht="16.899999999999999" hidden="1">
      <c r="A65" s="937"/>
      <c r="B65" s="938"/>
      <c r="C65" s="938"/>
      <c r="D65" s="939"/>
      <c r="E65" s="69"/>
      <c r="F65" s="89"/>
      <c r="G65" s="89"/>
      <c r="H65" s="89"/>
      <c r="I65" s="89"/>
      <c r="J65" s="83"/>
    </row>
    <row r="66" spans="1:10" ht="15.75" hidden="1">
      <c r="A66" s="78"/>
      <c r="B66" s="79"/>
      <c r="C66" s="79"/>
      <c r="D66" s="80"/>
      <c r="E66" s="69"/>
      <c r="F66" s="88"/>
      <c r="G66" s="88"/>
      <c r="H66" s="88"/>
      <c r="I66" s="88"/>
      <c r="J66" s="83"/>
    </row>
    <row r="67" spans="1:10" ht="16.149999999999999" hidden="1" thickBot="1">
      <c r="A67" s="90"/>
      <c r="B67" s="91"/>
      <c r="C67" s="91"/>
      <c r="D67" s="92"/>
      <c r="E67" s="93"/>
      <c r="F67" s="94"/>
      <c r="G67" s="94"/>
      <c r="H67" s="94"/>
      <c r="I67" s="94"/>
      <c r="J67" s="95"/>
    </row>
    <row r="68" spans="1:10" ht="16.149999999999999" hidden="1" thickBot="1">
      <c r="A68" s="70"/>
      <c r="B68" s="71"/>
      <c r="C68" s="71"/>
      <c r="D68" s="71"/>
      <c r="E68" s="71"/>
      <c r="F68" s="72"/>
      <c r="G68" s="71"/>
      <c r="H68" s="71"/>
      <c r="I68" s="71"/>
      <c r="J68" s="126" t="s">
        <v>605</v>
      </c>
    </row>
    <row r="69" spans="1:10" ht="19.149999999999999" hidden="1">
      <c r="A69" s="949" t="s">
        <v>576</v>
      </c>
      <c r="B69" s="950"/>
      <c r="C69" s="950"/>
      <c r="D69" s="950"/>
      <c r="E69" s="950"/>
      <c r="F69" s="950"/>
      <c r="G69" s="950"/>
      <c r="H69" s="950"/>
      <c r="I69" s="950"/>
      <c r="J69" s="951"/>
    </row>
    <row r="70" spans="1:10" ht="16.899999999999999" hidden="1">
      <c r="A70" s="944" t="s">
        <v>577</v>
      </c>
      <c r="B70" s="945"/>
      <c r="C70" s="945"/>
      <c r="D70" s="946"/>
      <c r="E70" s="945" t="s">
        <v>578</v>
      </c>
      <c r="F70" s="945"/>
      <c r="G70" s="945"/>
      <c r="H70" s="945"/>
      <c r="I70" s="945"/>
      <c r="J70" s="952"/>
    </row>
    <row r="71" spans="1:10" ht="16.899999999999999" hidden="1">
      <c r="A71" s="73"/>
      <c r="B71" s="74"/>
      <c r="C71" s="74"/>
      <c r="D71" s="75"/>
      <c r="E71" s="76" t="s">
        <v>599</v>
      </c>
      <c r="F71" s="76"/>
      <c r="G71" s="76"/>
      <c r="H71" s="67"/>
      <c r="I71" s="67"/>
      <c r="J71" s="77"/>
    </row>
    <row r="72" spans="1:10" ht="15.75" hidden="1">
      <c r="A72" s="78"/>
      <c r="B72" s="79"/>
      <c r="C72" s="79"/>
      <c r="D72" s="80"/>
      <c r="E72" s="76" t="s">
        <v>600</v>
      </c>
      <c r="F72" s="82"/>
      <c r="G72" s="82"/>
      <c r="H72" s="82"/>
      <c r="I72" s="82"/>
      <c r="J72" s="83"/>
    </row>
    <row r="73" spans="1:10" ht="15.75" hidden="1">
      <c r="A73" s="78"/>
      <c r="B73" s="79"/>
      <c r="C73" s="79"/>
      <c r="D73" s="80"/>
      <c r="E73" s="76" t="s">
        <v>601</v>
      </c>
      <c r="F73" s="84"/>
      <c r="G73" s="79"/>
      <c r="H73" s="79"/>
      <c r="I73" s="79"/>
      <c r="J73" s="83"/>
    </row>
    <row r="74" spans="1:10" ht="15.75" hidden="1">
      <c r="A74" s="78"/>
      <c r="B74" s="79"/>
      <c r="C74" s="79"/>
      <c r="D74" s="80"/>
      <c r="E74" s="76" t="s">
        <v>602</v>
      </c>
      <c r="F74" s="82"/>
      <c r="G74" s="82"/>
      <c r="H74" s="82"/>
      <c r="I74" s="82"/>
      <c r="J74" s="83"/>
    </row>
    <row r="75" spans="1:10" ht="15.75" hidden="1">
      <c r="A75" s="78"/>
      <c r="B75" s="79"/>
      <c r="C75" s="79"/>
      <c r="D75" s="80"/>
      <c r="E75" s="76" t="s">
        <v>603</v>
      </c>
      <c r="F75" s="84"/>
      <c r="G75" s="79"/>
      <c r="H75" s="79"/>
      <c r="I75" s="79"/>
      <c r="J75" s="83"/>
    </row>
    <row r="76" spans="1:10" hidden="1">
      <c r="A76" s="78"/>
      <c r="B76" s="79"/>
      <c r="C76" s="79"/>
      <c r="D76" s="80"/>
      <c r="E76" s="69"/>
      <c r="F76" s="84"/>
      <c r="G76" s="79"/>
      <c r="H76" s="79"/>
      <c r="I76" s="79"/>
      <c r="J76" s="83"/>
    </row>
    <row r="77" spans="1:10" ht="15.75" hidden="1">
      <c r="A77" s="78"/>
      <c r="B77" s="79"/>
      <c r="C77" s="79"/>
      <c r="D77" s="80"/>
      <c r="E77" s="76" t="s">
        <v>604</v>
      </c>
      <c r="F77" s="84"/>
      <c r="G77" s="79"/>
      <c r="H77" s="79"/>
      <c r="I77" s="79"/>
      <c r="J77" s="83"/>
    </row>
    <row r="78" spans="1:10" ht="15.75" hidden="1">
      <c r="A78" s="78"/>
      <c r="B78" s="79"/>
      <c r="C78" s="79"/>
      <c r="D78" s="80"/>
      <c r="E78" s="76"/>
      <c r="F78" s="84"/>
      <c r="G78" s="79"/>
      <c r="H78" s="79"/>
      <c r="I78" s="79"/>
      <c r="J78" s="83"/>
    </row>
    <row r="79" spans="1:10" ht="15.75" hidden="1">
      <c r="A79" s="78"/>
      <c r="B79" s="79"/>
      <c r="C79" s="79"/>
      <c r="D79" s="80"/>
      <c r="E79" s="76"/>
      <c r="F79" s="84"/>
      <c r="G79" s="79"/>
      <c r="H79" s="79"/>
      <c r="I79" s="79"/>
      <c r="J79" s="83"/>
    </row>
    <row r="80" spans="1:10" ht="16.899999999999999" hidden="1">
      <c r="A80" s="937"/>
      <c r="B80" s="938"/>
      <c r="C80" s="938"/>
      <c r="D80" s="939"/>
      <c r="E80" s="76"/>
      <c r="F80" s="89"/>
      <c r="G80" s="89"/>
      <c r="H80" s="89"/>
      <c r="I80" s="89"/>
      <c r="J80" s="83"/>
    </row>
    <row r="81" spans="1:10" ht="16.899999999999999" hidden="1">
      <c r="A81" s="73"/>
      <c r="B81" s="74"/>
      <c r="C81" s="74"/>
      <c r="D81" s="85"/>
      <c r="E81" s="96"/>
      <c r="F81" s="89"/>
      <c r="G81" s="89"/>
      <c r="H81" s="89"/>
      <c r="I81" s="89"/>
      <c r="J81" s="83"/>
    </row>
    <row r="82" spans="1:10" ht="15.75" hidden="1">
      <c r="A82" s="78"/>
      <c r="B82" s="79"/>
      <c r="C82" s="79"/>
      <c r="D82" s="80"/>
      <c r="E82" s="69"/>
      <c r="F82" s="88"/>
      <c r="G82" s="88"/>
      <c r="H82" s="88"/>
      <c r="I82" s="88"/>
      <c r="J82" s="83"/>
    </row>
    <row r="83" spans="1:10" ht="16.149999999999999" hidden="1" thickBot="1">
      <c r="A83" s="90"/>
      <c r="B83" s="91"/>
      <c r="C83" s="91"/>
      <c r="D83" s="92"/>
      <c r="E83" s="93"/>
      <c r="F83" s="94"/>
      <c r="G83" s="94"/>
      <c r="H83" s="94"/>
      <c r="I83" s="94"/>
      <c r="J83" s="95"/>
    </row>
    <row r="84" spans="1:10" ht="16.149999999999999" hidden="1" thickBot="1">
      <c r="A84" s="70"/>
      <c r="B84" s="71"/>
      <c r="C84" s="71"/>
      <c r="D84" s="71"/>
      <c r="E84" s="71"/>
      <c r="F84" s="72"/>
      <c r="G84" s="71"/>
      <c r="H84" s="71"/>
      <c r="I84" s="71"/>
      <c r="J84" s="126" t="s">
        <v>605</v>
      </c>
    </row>
  </sheetData>
  <mergeCells count="29">
    <mergeCell ref="A1:J1"/>
    <mergeCell ref="A3:A11"/>
    <mergeCell ref="B3:J11"/>
    <mergeCell ref="A12:A35"/>
    <mergeCell ref="B12:B13"/>
    <mergeCell ref="C12:C13"/>
    <mergeCell ref="D12:E12"/>
    <mergeCell ref="F12:F13"/>
    <mergeCell ref="G12:G13"/>
    <mergeCell ref="H12:H13"/>
    <mergeCell ref="I12:I13"/>
    <mergeCell ref="J12:J13"/>
    <mergeCell ref="B14:B28"/>
    <mergeCell ref="B29:B31"/>
    <mergeCell ref="B32:B35"/>
    <mergeCell ref="C36:D36"/>
    <mergeCell ref="F36:H36"/>
    <mergeCell ref="A80:D80"/>
    <mergeCell ref="F37:H37"/>
    <mergeCell ref="A39:J39"/>
    <mergeCell ref="A40:D40"/>
    <mergeCell ref="E40:J40"/>
    <mergeCell ref="A50:D50"/>
    <mergeCell ref="A52:D52"/>
    <mergeCell ref="A63:D63"/>
    <mergeCell ref="A65:D65"/>
    <mergeCell ref="A69:J69"/>
    <mergeCell ref="A70:D70"/>
    <mergeCell ref="E70:J70"/>
  </mergeCells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2F4DD5-42EA-4115-8293-5A4F338A695F}">
  <sheetPr codeName="Sheet159">
    <tabColor theme="3" tint="-0.499984740745262"/>
  </sheetPr>
  <dimension ref="A1:J75"/>
  <sheetViews>
    <sheetView showGridLines="0" topLeftCell="A3" workbookViewId="0">
      <selection activeCell="F23" sqref="F23"/>
    </sheetView>
  </sheetViews>
  <sheetFormatPr defaultRowHeight="14.25"/>
  <cols>
    <col min="1" max="1" width="8.46484375" customWidth="1"/>
    <col min="2" max="2" width="9.59765625" customWidth="1"/>
    <col min="3" max="3" width="10.6640625" customWidth="1"/>
    <col min="4" max="4" width="23.46484375" customWidth="1"/>
    <col min="5" max="5" width="26.3984375" customWidth="1"/>
    <col min="7" max="7" width="5.6640625" bestFit="1" customWidth="1"/>
    <col min="9" max="9" width="9.3984375" bestFit="1" customWidth="1"/>
    <col min="10" max="10" width="21.06640625" bestFit="1" customWidth="1"/>
  </cols>
  <sheetData>
    <row r="1" spans="1:10" ht="28.9" thickBot="1">
      <c r="A1" s="981" t="s">
        <v>570</v>
      </c>
      <c r="B1" s="982"/>
      <c r="C1" s="982"/>
      <c r="D1" s="982"/>
      <c r="E1" s="982"/>
      <c r="F1" s="982"/>
      <c r="G1" s="982"/>
      <c r="H1" s="982"/>
      <c r="I1" s="982"/>
      <c r="J1" s="982"/>
    </row>
    <row r="2" spans="1:10" ht="25.15" thickBot="1">
      <c r="A2" s="332" t="s">
        <v>655</v>
      </c>
      <c r="B2" s="985" t="s">
        <v>1129</v>
      </c>
      <c r="C2" s="986"/>
      <c r="D2" s="986"/>
      <c r="E2" s="986"/>
      <c r="F2" s="986"/>
      <c r="G2" s="986"/>
      <c r="H2" s="986"/>
      <c r="I2" s="986"/>
      <c r="J2" s="987"/>
    </row>
    <row r="3" spans="1:10">
      <c r="A3" s="956" t="s">
        <v>572</v>
      </c>
      <c r="B3" s="962"/>
      <c r="C3" s="959"/>
      <c r="D3" s="959"/>
      <c r="E3" s="959"/>
      <c r="F3" s="959"/>
      <c r="G3" s="959"/>
      <c r="H3" s="959"/>
      <c r="I3" s="959"/>
      <c r="J3" s="963"/>
    </row>
    <row r="4" spans="1:10" ht="20.25" customHeight="1">
      <c r="A4" s="956"/>
      <c r="B4" s="962"/>
      <c r="C4" s="959"/>
      <c r="D4" s="959"/>
      <c r="E4" s="959"/>
      <c r="F4" s="959"/>
      <c r="G4" s="959"/>
      <c r="H4" s="959"/>
      <c r="I4" s="959"/>
      <c r="J4" s="963"/>
    </row>
    <row r="5" spans="1:10" ht="20.25" customHeight="1">
      <c r="A5" s="956"/>
      <c r="B5" s="962"/>
      <c r="C5" s="959"/>
      <c r="D5" s="959"/>
      <c r="E5" s="959"/>
      <c r="F5" s="959"/>
      <c r="G5" s="959"/>
      <c r="H5" s="959"/>
      <c r="I5" s="959"/>
      <c r="J5" s="963"/>
    </row>
    <row r="6" spans="1:10" ht="20.25" customHeight="1">
      <c r="A6" s="956"/>
      <c r="B6" s="962"/>
      <c r="C6" s="959"/>
      <c r="D6" s="959"/>
      <c r="E6" s="959"/>
      <c r="F6" s="959"/>
      <c r="G6" s="959"/>
      <c r="H6" s="959"/>
      <c r="I6" s="959"/>
      <c r="J6" s="963"/>
    </row>
    <row r="7" spans="1:10" ht="20.25" customHeight="1">
      <c r="A7" s="956"/>
      <c r="B7" s="962"/>
      <c r="C7" s="959"/>
      <c r="D7" s="959"/>
      <c r="E7" s="959"/>
      <c r="F7" s="959"/>
      <c r="G7" s="959"/>
      <c r="H7" s="959"/>
      <c r="I7" s="959"/>
      <c r="J7" s="963"/>
    </row>
    <row r="8" spans="1:10" ht="20.25" customHeight="1">
      <c r="A8" s="956"/>
      <c r="B8" s="962"/>
      <c r="C8" s="959"/>
      <c r="D8" s="959"/>
      <c r="E8" s="959"/>
      <c r="F8" s="959"/>
      <c r="G8" s="959"/>
      <c r="H8" s="959"/>
      <c r="I8" s="959"/>
      <c r="J8" s="963"/>
    </row>
    <row r="9" spans="1:10" ht="20.25" customHeight="1">
      <c r="A9" s="956"/>
      <c r="B9" s="962"/>
      <c r="C9" s="959"/>
      <c r="D9" s="959"/>
      <c r="E9" s="959"/>
      <c r="F9" s="959"/>
      <c r="G9" s="959"/>
      <c r="H9" s="959"/>
      <c r="I9" s="959"/>
      <c r="J9" s="963"/>
    </row>
    <row r="10" spans="1:10" ht="20.25" customHeight="1">
      <c r="A10" s="956"/>
      <c r="B10" s="962"/>
      <c r="C10" s="959"/>
      <c r="D10" s="959"/>
      <c r="E10" s="959"/>
      <c r="F10" s="959"/>
      <c r="G10" s="959"/>
      <c r="H10" s="959"/>
      <c r="I10" s="959"/>
      <c r="J10" s="963"/>
    </row>
    <row r="11" spans="1:10" ht="20.25" customHeight="1">
      <c r="A11" s="957"/>
      <c r="B11" s="964"/>
      <c r="C11" s="965"/>
      <c r="D11" s="965"/>
      <c r="E11" s="965"/>
      <c r="F11" s="965"/>
      <c r="G11" s="965"/>
      <c r="H11" s="965"/>
      <c r="I11" s="965"/>
      <c r="J11" s="983"/>
    </row>
    <row r="12" spans="1:10" ht="19.149999999999999">
      <c r="A12" s="966"/>
      <c r="B12" s="969" t="s">
        <v>620</v>
      </c>
      <c r="C12" s="970" t="s">
        <v>608</v>
      </c>
      <c r="D12" s="970" t="s">
        <v>573</v>
      </c>
      <c r="E12" s="970"/>
      <c r="F12" s="971" t="s">
        <v>574</v>
      </c>
      <c r="G12" s="970" t="s">
        <v>59</v>
      </c>
      <c r="H12" s="970" t="s">
        <v>615</v>
      </c>
      <c r="I12" s="970" t="s">
        <v>614</v>
      </c>
      <c r="J12" s="984" t="s">
        <v>575</v>
      </c>
    </row>
    <row r="13" spans="1:10" ht="19.149999999999999">
      <c r="A13" s="967"/>
      <c r="B13" s="969"/>
      <c r="C13" s="970"/>
      <c r="D13" s="121" t="s">
        <v>606</v>
      </c>
      <c r="E13" s="121" t="s">
        <v>607</v>
      </c>
      <c r="F13" s="971"/>
      <c r="G13" s="970"/>
      <c r="H13" s="970"/>
      <c r="I13" s="970"/>
      <c r="J13" s="984"/>
    </row>
    <row r="14" spans="1:10" ht="16.5" customHeight="1">
      <c r="A14" s="967"/>
      <c r="B14" s="978" t="s">
        <v>621</v>
      </c>
      <c r="C14" s="175" t="s">
        <v>915</v>
      </c>
      <c r="D14" s="130" t="str">
        <f>IFERROR(VLOOKUP(C14,MasterSheet!$B$6:$N$150,2,),"n/a")</f>
        <v>치즈스틱</v>
      </c>
      <c r="E14" s="130" t="str">
        <f>IFERROR(VLOOKUP(C14,MasterSheet!$B$6:$N$150,3,),"n/a")</f>
        <v>Cheese Stick</v>
      </c>
      <c r="F14" s="239">
        <v>50</v>
      </c>
      <c r="G14" s="131" t="str">
        <f>IFERROR(VLOOKUP(C14,MasterSheet!B6:N150,10,),"N/a")</f>
        <v>pc</v>
      </c>
      <c r="H14" s="323">
        <f>IFERROR(VLOOKUP(C14,MasterSheet!$B$6:$N$150,11,),"N/a")</f>
        <v>3885</v>
      </c>
      <c r="I14" s="323">
        <f>IFERROR(F14*H14,"-")</f>
        <v>194250</v>
      </c>
      <c r="J14" s="360" t="s">
        <v>1252</v>
      </c>
    </row>
    <row r="15" spans="1:10" ht="16.5" customHeight="1">
      <c r="A15" s="967"/>
      <c r="B15" s="979"/>
      <c r="C15" s="175" t="s">
        <v>1044</v>
      </c>
      <c r="D15" s="130" t="str">
        <f>IFERROR(VLOOKUP(C15,MasterSheet!$B$6:$N$150,2,),"n/a")</f>
        <v>치킨 너겟</v>
      </c>
      <c r="E15" s="130" t="str">
        <f>IFERROR(VLOOKUP(C15,MasterSheet!$B$6:$N$150,3,),"n/a")</f>
        <v>Chicken Nugget</v>
      </c>
      <c r="F15" s="239">
        <v>60</v>
      </c>
      <c r="G15" s="131" t="str">
        <f>IFERROR(VLOOKUP(C15,MasterSheet!B7:N151,10,),"N/a")</f>
        <v>g</v>
      </c>
      <c r="H15" s="323">
        <f>IFERROR(VLOOKUP(C15,MasterSheet!$B$6:$N$150,11,),"N/a")</f>
        <v>73.40425531914893</v>
      </c>
      <c r="I15" s="323">
        <f>IFERROR(F15*H15,"-")</f>
        <v>4404.255319148936</v>
      </c>
      <c r="J15" s="360" t="s">
        <v>1251</v>
      </c>
    </row>
    <row r="16" spans="1:10" ht="16.5" customHeight="1">
      <c r="A16" s="967"/>
      <c r="B16" s="979"/>
      <c r="C16" s="175"/>
      <c r="D16" s="130"/>
      <c r="E16" s="130"/>
      <c r="F16" s="239"/>
      <c r="G16" s="131"/>
      <c r="H16" s="323"/>
      <c r="I16" s="323"/>
      <c r="J16" s="167"/>
    </row>
    <row r="17" spans="1:10" ht="16.899999999999999">
      <c r="A17" s="967"/>
      <c r="B17" s="979"/>
      <c r="C17" s="175" t="s">
        <v>999</v>
      </c>
      <c r="D17" s="130" t="str">
        <f>IFERROR(VLOOKUP(C17,MasterSheet!$B$6:$N$150,2,),"n/a")</f>
        <v>팜유</v>
      </c>
      <c r="E17" s="130" t="str">
        <f>IFERROR(VLOOKUP(C17,MasterSheet!$B$6:$N$150,3,),"n/a")</f>
        <v>Palm Oil</v>
      </c>
      <c r="F17" s="239">
        <f>(F14+F15)*10%</f>
        <v>11</v>
      </c>
      <c r="G17" s="131" t="str">
        <f>IFERROR(VLOOKUP($C$17,MasterSheet!$B$6:$N$150,10,),"n/a")</f>
        <v>g</v>
      </c>
      <c r="H17" s="323">
        <f>IFERROR(VLOOKUP(C17,MasterSheet!$B$6:$N$150,11,),"N/a")</f>
        <v>25.580404040404041</v>
      </c>
      <c r="I17" s="323">
        <f>IFERROR(F17*H17,"-")</f>
        <v>281.38444444444445</v>
      </c>
      <c r="J17" s="167" t="s">
        <v>1136</v>
      </c>
    </row>
    <row r="18" spans="1:10" ht="16.899999999999999">
      <c r="A18" s="967"/>
      <c r="B18" s="980"/>
      <c r="C18" s="175" t="s">
        <v>725</v>
      </c>
      <c r="D18" s="130" t="str">
        <f>IFERROR(VLOOKUP(C18,MasterSheet!$B$6:$N$150,2,),"n/a")</f>
        <v>매운양념소스</v>
      </c>
      <c r="E18" s="130" t="str">
        <f>IFERROR(VLOOKUP(C18,MasterSheet!$B$6:$N$150,3,),"n/a")</f>
        <v>Hot Spicy Sauce</v>
      </c>
      <c r="F18" s="239">
        <v>10</v>
      </c>
      <c r="G18" s="131" t="str">
        <f>IFERROR(VLOOKUP($C$17,MasterSheet!$B$6:$N$150,10,),"n/a")</f>
        <v>g</v>
      </c>
      <c r="H18" s="323">
        <f>IFERROR(VLOOKUP(C18,MasterSheet!$B$6:$N$150,11,),"N/a")</f>
        <v>135.85937500000003</v>
      </c>
      <c r="I18" s="323">
        <f>IFERROR(F18*H18,"-")</f>
        <v>1358.5937500000002</v>
      </c>
      <c r="J18" s="167"/>
    </row>
    <row r="19" spans="1:10" ht="16.899999999999999">
      <c r="A19" s="967"/>
      <c r="B19" s="435"/>
      <c r="C19" s="175"/>
      <c r="D19" s="130"/>
      <c r="E19" s="130"/>
      <c r="F19" s="239"/>
      <c r="G19" s="131"/>
      <c r="H19" s="323"/>
      <c r="I19" s="323"/>
      <c r="J19" s="167"/>
    </row>
    <row r="20" spans="1:10" ht="16.899999999999999">
      <c r="A20" s="967"/>
      <c r="B20" s="974" t="s">
        <v>622</v>
      </c>
      <c r="C20" s="175" t="s">
        <v>1117</v>
      </c>
      <c r="D20" s="140" t="str">
        <f>VLOOKUP(C20,CK!$B$8:$L$283,3,)</f>
        <v>감자튀김</v>
      </c>
      <c r="E20" s="140" t="str">
        <f>VLOOKUP(C20,CK!$B$8:$L$283,4,)</f>
        <v>French Fries</v>
      </c>
      <c r="F20" s="239">
        <v>100</v>
      </c>
      <c r="G20" s="141" t="str">
        <f>VLOOKUP(C20,CK!$B$8:$L$283,9,)</f>
        <v>g</v>
      </c>
      <c r="H20" s="324">
        <f>VLOOKUP(C20,CK!$B$8:$L$283,10,)</f>
        <v>43.15228956228956</v>
      </c>
      <c r="I20" s="324">
        <f>F20*H20</f>
        <v>4315.2289562289561</v>
      </c>
      <c r="J20" s="170"/>
    </row>
    <row r="21" spans="1:10" ht="16.899999999999999">
      <c r="A21" s="967"/>
      <c r="B21" s="974"/>
      <c r="C21" s="175" t="s">
        <v>1283</v>
      </c>
      <c r="D21" s="140" t="str">
        <f>VLOOKUP(C21,CK!$B$8:$L$283,3,)</f>
        <v>탄산음료</v>
      </c>
      <c r="E21" s="140" t="str">
        <f>VLOOKUP(C21,CK!$B$8:$L$283,4,)</f>
        <v>Soft Drink</v>
      </c>
      <c r="F21" s="239">
        <v>250</v>
      </c>
      <c r="G21" s="141" t="str">
        <f>VLOOKUP(C21,CK!$B$8:$L$283,9,)</f>
        <v>ml</v>
      </c>
      <c r="H21" s="324">
        <f>VLOOKUP(C21,CK!$B$8:$L$283,10,)</f>
        <v>8.9157788757136593</v>
      </c>
      <c r="I21" s="324">
        <f>F21*H21</f>
        <v>2228.9447189284147</v>
      </c>
      <c r="J21" s="170"/>
    </row>
    <row r="22" spans="1:10" ht="16.899999999999999">
      <c r="A22" s="967"/>
      <c r="B22" s="974"/>
      <c r="C22" s="175"/>
      <c r="D22" s="140"/>
      <c r="E22" s="140"/>
      <c r="F22" s="176"/>
      <c r="G22" s="141"/>
      <c r="H22" s="324"/>
      <c r="I22" s="324"/>
      <c r="J22" s="170"/>
    </row>
    <row r="23" spans="1:10" ht="16.899999999999999">
      <c r="A23" s="967"/>
      <c r="B23" s="975" t="s">
        <v>623</v>
      </c>
      <c r="C23" s="175" t="s">
        <v>1077</v>
      </c>
      <c r="D23" s="145" t="str">
        <f>IFERROR(VLOOKUP(C23,MasterSheet!$B$6:$N$340,2,),"n/a")</f>
        <v>음료 패키지 뚜껑</v>
      </c>
      <c r="E23" s="145" t="str">
        <f>IFERROR(VLOOKUP(C23,MasterSheet!$B$6:$N$340,3,),"n/a")</f>
        <v>Drink Package lid</v>
      </c>
      <c r="F23" s="176">
        <v>1</v>
      </c>
      <c r="G23" s="147" t="str">
        <f>IFERROR(VLOOKUP($C$17,MasterSheet!$B$6:$N$340,10,),"n/a")</f>
        <v>g</v>
      </c>
      <c r="H23" s="325">
        <f>IFERROR(VLOOKUP(C23,MasterSheet!$B$6:$N$340,11,),"N/a")</f>
        <v>200</v>
      </c>
      <c r="I23" s="325">
        <f>IFERROR(F23*H23,"-")</f>
        <v>200</v>
      </c>
      <c r="J23" s="171"/>
    </row>
    <row r="24" spans="1:10" ht="16.899999999999999">
      <c r="A24" s="967"/>
      <c r="B24" s="976"/>
      <c r="C24" s="175" t="s">
        <v>1078</v>
      </c>
      <c r="D24" s="145" t="str">
        <f>IFERROR(VLOOKUP(C24,MasterSheet!$B$6:$N$340,2,),"n/a")</f>
        <v>꼬꼬콜 뚜껑</v>
      </c>
      <c r="E24" s="145" t="str">
        <f>IFERROR(VLOOKUP(C24,MasterSheet!$B$6:$N$340,3,),"n/a")</f>
        <v>Coco-cole Lid</v>
      </c>
      <c r="F24" s="176">
        <v>1</v>
      </c>
      <c r="G24" s="147" t="str">
        <f>IFERROR(VLOOKUP($C$17,MasterSheet!$B$6:$N$340,10,),"n/a")</f>
        <v>g</v>
      </c>
      <c r="H24" s="325" t="str">
        <f>IFERROR(VLOOKUP(C24,MasterSheet!$B$6:$N$340,11,),"N/a")</f>
        <v>-</v>
      </c>
      <c r="I24" s="325" t="str">
        <f>IFERROR(F24*H24,"-")</f>
        <v>-</v>
      </c>
      <c r="J24" s="171"/>
    </row>
    <row r="25" spans="1:10" ht="16.899999999999999">
      <c r="A25" s="967"/>
      <c r="B25" s="976"/>
      <c r="C25" s="175"/>
      <c r="D25" s="149"/>
      <c r="E25" s="149"/>
      <c r="F25" s="176"/>
      <c r="G25" s="147"/>
      <c r="H25" s="325"/>
      <c r="I25" s="325"/>
      <c r="J25" s="171"/>
    </row>
    <row r="26" spans="1:10" ht="17.25" thickBot="1">
      <c r="A26" s="968"/>
      <c r="B26" s="977"/>
      <c r="C26" s="241"/>
      <c r="D26" s="155"/>
      <c r="E26" s="154"/>
      <c r="F26" s="242"/>
      <c r="G26" s="152"/>
      <c r="H26" s="342"/>
      <c r="I26" s="342"/>
      <c r="J26" s="172"/>
    </row>
    <row r="27" spans="1:10" ht="17.25" thickBot="1">
      <c r="A27" s="156"/>
      <c r="B27" s="157" t="s">
        <v>614</v>
      </c>
      <c r="C27" s="935" t="s">
        <v>624</v>
      </c>
      <c r="D27" s="935"/>
      <c r="E27" s="341">
        <f>SUM(I14:I22)</f>
        <v>206838.40718875077</v>
      </c>
      <c r="F27" s="988" t="s">
        <v>625</v>
      </c>
      <c r="G27" s="988"/>
      <c r="H27" s="988"/>
      <c r="I27" s="341">
        <f>SUM(I14:I26)</f>
        <v>207038.40718875077</v>
      </c>
      <c r="J27" s="330" t="s">
        <v>790</v>
      </c>
    </row>
    <row r="28" spans="1:10" ht="17.25" thickBot="1">
      <c r="A28" s="156"/>
      <c r="B28" s="157"/>
      <c r="C28" s="158"/>
      <c r="D28" s="159"/>
      <c r="E28" s="159"/>
      <c r="F28" s="940" t="s">
        <v>789</v>
      </c>
      <c r="G28" s="940"/>
      <c r="H28" s="940"/>
      <c r="I28" s="237" t="e">
        <f>INDEX(COSTING!$D$1:$D$943,MATCH($B$2,COSTING!$C$1:$C$943,0))</f>
        <v>#N/A</v>
      </c>
      <c r="J28" s="331" t="str">
        <f>IFERROR((I27/I28),"-")</f>
        <v>-</v>
      </c>
    </row>
    <row r="29" spans="1:10" ht="16.149999999999999" thickBot="1">
      <c r="A29" s="70"/>
      <c r="B29" s="97"/>
      <c r="C29" s="97"/>
      <c r="D29" s="97"/>
      <c r="E29" s="97"/>
      <c r="F29" s="98"/>
      <c r="G29" s="97"/>
      <c r="H29" s="97"/>
      <c r="I29" s="97"/>
      <c r="J29" s="127" t="s">
        <v>605</v>
      </c>
    </row>
    <row r="30" spans="1:10" ht="19.149999999999999" hidden="1">
      <c r="A30" s="941" t="s">
        <v>576</v>
      </c>
      <c r="B30" s="942"/>
      <c r="C30" s="942"/>
      <c r="D30" s="942"/>
      <c r="E30" s="942"/>
      <c r="F30" s="942"/>
      <c r="G30" s="942"/>
      <c r="H30" s="942"/>
      <c r="I30" s="942"/>
      <c r="J30" s="943"/>
    </row>
    <row r="31" spans="1:10" ht="16.899999999999999" hidden="1">
      <c r="A31" s="944" t="s">
        <v>577</v>
      </c>
      <c r="B31" s="945"/>
      <c r="C31" s="945"/>
      <c r="D31" s="946"/>
      <c r="E31" s="947" t="s">
        <v>578</v>
      </c>
      <c r="F31" s="947"/>
      <c r="G31" s="947"/>
      <c r="H31" s="947"/>
      <c r="I31" s="947"/>
      <c r="J31" s="948"/>
    </row>
    <row r="32" spans="1:10" ht="16.899999999999999" hidden="1">
      <c r="A32" s="73"/>
      <c r="B32" s="74"/>
      <c r="C32" s="74"/>
      <c r="D32" s="75"/>
      <c r="E32" s="76" t="s">
        <v>579</v>
      </c>
      <c r="F32" s="76"/>
      <c r="G32" s="67"/>
      <c r="H32" s="67"/>
      <c r="I32" s="67"/>
      <c r="J32" s="77"/>
    </row>
    <row r="33" spans="1:10" ht="15.75" hidden="1">
      <c r="A33" s="78"/>
      <c r="B33" s="79"/>
      <c r="C33" s="79"/>
      <c r="D33" s="80"/>
      <c r="E33" s="81" t="s">
        <v>580</v>
      </c>
      <c r="F33" s="82"/>
      <c r="G33" s="82"/>
      <c r="H33" s="82"/>
      <c r="I33" s="82"/>
      <c r="J33" s="83"/>
    </row>
    <row r="34" spans="1:10" ht="15.75" hidden="1">
      <c r="A34" s="78"/>
      <c r="B34" s="79"/>
      <c r="C34" s="79"/>
      <c r="D34" s="80"/>
      <c r="E34" s="76"/>
      <c r="F34" s="84"/>
      <c r="G34" s="79"/>
      <c r="H34" s="79"/>
      <c r="I34" s="79"/>
      <c r="J34" s="83"/>
    </row>
    <row r="35" spans="1:10" ht="15.75" hidden="1">
      <c r="A35" s="78"/>
      <c r="B35" s="79"/>
      <c r="C35" s="79"/>
      <c r="D35" s="80"/>
      <c r="E35" s="76" t="s">
        <v>581</v>
      </c>
      <c r="F35" s="82"/>
      <c r="G35" s="82"/>
      <c r="H35" s="82"/>
      <c r="I35" s="82"/>
      <c r="J35" s="83"/>
    </row>
    <row r="36" spans="1:10" ht="15.75" hidden="1">
      <c r="A36" s="78"/>
      <c r="B36" s="79"/>
      <c r="C36" s="79"/>
      <c r="D36" s="80"/>
      <c r="E36" s="76" t="s">
        <v>582</v>
      </c>
      <c r="F36" s="84"/>
      <c r="G36" s="79"/>
      <c r="H36" s="79"/>
      <c r="I36" s="79"/>
      <c r="J36" s="83"/>
    </row>
    <row r="37" spans="1:10" ht="15.75" hidden="1">
      <c r="A37" s="78"/>
      <c r="B37" s="79"/>
      <c r="C37" s="79"/>
      <c r="D37" s="80"/>
      <c r="E37" s="76" t="s">
        <v>583</v>
      </c>
      <c r="F37" s="84"/>
      <c r="G37" s="79"/>
      <c r="H37" s="79"/>
      <c r="I37" s="79"/>
      <c r="J37" s="83"/>
    </row>
    <row r="38" spans="1:10" ht="15.75" hidden="1">
      <c r="A38" s="78"/>
      <c r="B38" s="79"/>
      <c r="C38" s="79"/>
      <c r="D38" s="80"/>
      <c r="E38" s="76"/>
      <c r="F38" s="84"/>
      <c r="G38" s="79"/>
      <c r="H38" s="79"/>
      <c r="I38" s="79"/>
      <c r="J38" s="83"/>
    </row>
    <row r="39" spans="1:10" ht="15.75" hidden="1">
      <c r="A39" s="78"/>
      <c r="B39" s="79"/>
      <c r="C39" s="79"/>
      <c r="D39" s="80"/>
      <c r="E39" s="76" t="s">
        <v>584</v>
      </c>
      <c r="F39" s="84"/>
      <c r="G39" s="79"/>
      <c r="H39" s="79"/>
      <c r="I39" s="79"/>
      <c r="J39" s="83"/>
    </row>
    <row r="40" spans="1:10" ht="15.75" hidden="1">
      <c r="A40" s="78"/>
      <c r="B40" s="79"/>
      <c r="C40" s="79"/>
      <c r="D40" s="80"/>
      <c r="E40" s="76" t="s">
        <v>585</v>
      </c>
      <c r="F40" s="84"/>
      <c r="G40" s="79"/>
      <c r="H40" s="79"/>
      <c r="I40" s="79"/>
      <c r="J40" s="83"/>
    </row>
    <row r="41" spans="1:10" ht="16.899999999999999" hidden="1">
      <c r="A41" s="937"/>
      <c r="B41" s="938"/>
      <c r="C41" s="938"/>
      <c r="D41" s="939"/>
      <c r="E41" s="76" t="s">
        <v>586</v>
      </c>
      <c r="F41" s="86"/>
      <c r="G41" s="79"/>
      <c r="H41" s="79"/>
      <c r="I41" s="79"/>
      <c r="J41" s="83"/>
    </row>
    <row r="42" spans="1:10" ht="16.899999999999999" hidden="1">
      <c r="A42" s="73"/>
      <c r="B42" s="74"/>
      <c r="C42" s="74"/>
      <c r="D42" s="85"/>
      <c r="E42" s="76" t="s">
        <v>587</v>
      </c>
      <c r="F42" s="86"/>
      <c r="G42" s="79"/>
      <c r="H42" s="79"/>
      <c r="I42" s="79"/>
      <c r="J42" s="83"/>
    </row>
    <row r="43" spans="1:10" ht="16.899999999999999" hidden="1">
      <c r="A43" s="937"/>
      <c r="B43" s="938"/>
      <c r="C43" s="938"/>
      <c r="D43" s="939"/>
      <c r="E43" s="76" t="s">
        <v>588</v>
      </c>
      <c r="F43" s="84"/>
      <c r="G43" s="79"/>
      <c r="H43" s="79"/>
      <c r="I43" s="79"/>
      <c r="J43" s="87"/>
    </row>
    <row r="44" spans="1:10" ht="16.899999999999999" hidden="1">
      <c r="A44" s="73"/>
      <c r="B44" s="74"/>
      <c r="C44" s="74"/>
      <c r="D44" s="85"/>
      <c r="E44" s="76" t="s">
        <v>589</v>
      </c>
      <c r="F44" s="84"/>
      <c r="G44" s="79"/>
      <c r="H44" s="79"/>
      <c r="I44" s="79"/>
      <c r="J44" s="87"/>
    </row>
    <row r="45" spans="1:10" ht="16.899999999999999" hidden="1">
      <c r="A45" s="73"/>
      <c r="B45" s="74"/>
      <c r="C45" s="74"/>
      <c r="D45" s="85"/>
      <c r="E45" s="76" t="s">
        <v>590</v>
      </c>
      <c r="F45" s="84"/>
      <c r="G45" s="79"/>
      <c r="H45" s="79"/>
      <c r="I45" s="79"/>
      <c r="J45" s="87"/>
    </row>
    <row r="46" spans="1:10" ht="16.899999999999999" hidden="1">
      <c r="A46" s="73"/>
      <c r="B46" s="74"/>
      <c r="C46" s="74"/>
      <c r="D46" s="85"/>
      <c r="E46" s="88"/>
      <c r="F46" s="84"/>
      <c r="G46" s="79"/>
      <c r="H46" s="79"/>
      <c r="I46" s="79"/>
      <c r="J46" s="87"/>
    </row>
    <row r="47" spans="1:10" ht="16.899999999999999" hidden="1">
      <c r="A47" s="73"/>
      <c r="B47" s="74"/>
      <c r="C47" s="74"/>
      <c r="D47" s="85"/>
      <c r="E47" s="76" t="s">
        <v>591</v>
      </c>
      <c r="F47" s="84"/>
      <c r="G47" s="79"/>
      <c r="H47" s="79"/>
      <c r="I47" s="79"/>
      <c r="J47" s="87"/>
    </row>
    <row r="48" spans="1:10" ht="16.899999999999999" hidden="1">
      <c r="A48" s="78"/>
      <c r="B48" s="79"/>
      <c r="C48" s="79"/>
      <c r="D48" s="80"/>
      <c r="E48" s="76" t="s">
        <v>592</v>
      </c>
      <c r="F48" s="84"/>
      <c r="G48" s="79"/>
      <c r="H48" s="79"/>
      <c r="I48" s="79"/>
      <c r="J48" s="87"/>
    </row>
    <row r="49" spans="1:10" hidden="1">
      <c r="A49" s="78"/>
      <c r="B49" s="79"/>
      <c r="C49" s="79"/>
      <c r="D49" s="80"/>
      <c r="E49" s="69"/>
      <c r="F49" s="84"/>
      <c r="G49" s="79"/>
      <c r="H49" s="79"/>
      <c r="I49" s="79"/>
      <c r="J49" s="83"/>
    </row>
    <row r="50" spans="1:10" ht="15.75" hidden="1">
      <c r="A50" s="78"/>
      <c r="B50" s="79"/>
      <c r="C50" s="79"/>
      <c r="D50" s="80"/>
      <c r="E50" s="76" t="s">
        <v>593</v>
      </c>
      <c r="F50" s="84"/>
      <c r="G50" s="79"/>
      <c r="H50" s="79"/>
      <c r="I50" s="79"/>
      <c r="J50" s="83"/>
    </row>
    <row r="51" spans="1:10" ht="15.75" hidden="1">
      <c r="A51" s="78"/>
      <c r="B51" s="79"/>
      <c r="C51" s="79"/>
      <c r="D51" s="80"/>
      <c r="E51" s="76" t="s">
        <v>594</v>
      </c>
      <c r="F51" s="84"/>
      <c r="G51" s="79"/>
      <c r="H51" s="79"/>
      <c r="I51" s="79"/>
      <c r="J51" s="83"/>
    </row>
    <row r="52" spans="1:10" ht="15.75" hidden="1">
      <c r="A52" s="78"/>
      <c r="B52" s="79"/>
      <c r="C52" s="79"/>
      <c r="D52" s="80"/>
      <c r="E52" s="76" t="s">
        <v>595</v>
      </c>
      <c r="F52" s="88"/>
      <c r="G52" s="88"/>
      <c r="H52" s="88"/>
      <c r="I52" s="88"/>
      <c r="J52" s="83"/>
    </row>
    <row r="53" spans="1:10" ht="15.75" hidden="1">
      <c r="A53" s="78"/>
      <c r="B53" s="79"/>
      <c r="C53" s="79"/>
      <c r="D53" s="80"/>
      <c r="E53" s="76" t="s">
        <v>596</v>
      </c>
      <c r="F53" s="88"/>
      <c r="G53" s="88"/>
      <c r="H53" s="88"/>
      <c r="I53" s="88"/>
      <c r="J53" s="83"/>
    </row>
    <row r="54" spans="1:10" ht="16.899999999999999" hidden="1">
      <c r="A54" s="937"/>
      <c r="B54" s="938"/>
      <c r="C54" s="938"/>
      <c r="D54" s="939"/>
      <c r="E54" s="76" t="s">
        <v>597</v>
      </c>
      <c r="F54" s="89"/>
      <c r="G54" s="89"/>
      <c r="H54" s="89"/>
      <c r="I54" s="89"/>
      <c r="J54" s="83"/>
    </row>
    <row r="55" spans="1:10" ht="16.899999999999999" hidden="1">
      <c r="A55" s="73"/>
      <c r="B55" s="74"/>
      <c r="C55" s="74"/>
      <c r="D55" s="85"/>
      <c r="E55" s="76" t="s">
        <v>598</v>
      </c>
      <c r="F55" s="89"/>
      <c r="G55" s="89"/>
      <c r="H55" s="89"/>
      <c r="I55" s="89"/>
      <c r="J55" s="83"/>
    </row>
    <row r="56" spans="1:10" ht="16.899999999999999" hidden="1">
      <c r="A56" s="937"/>
      <c r="B56" s="938"/>
      <c r="C56" s="938"/>
      <c r="D56" s="939"/>
      <c r="E56" s="69"/>
      <c r="F56" s="89"/>
      <c r="G56" s="89"/>
      <c r="H56" s="89"/>
      <c r="I56" s="89"/>
      <c r="J56" s="83"/>
    </row>
    <row r="57" spans="1:10" ht="15.75" hidden="1">
      <c r="A57" s="78"/>
      <c r="B57" s="79"/>
      <c r="C57" s="79"/>
      <c r="D57" s="80"/>
      <c r="E57" s="69"/>
      <c r="F57" s="88"/>
      <c r="G57" s="88"/>
      <c r="H57" s="88"/>
      <c r="I57" s="88"/>
      <c r="J57" s="83"/>
    </row>
    <row r="58" spans="1:10" ht="16.149999999999999" hidden="1" thickBot="1">
      <c r="A58" s="90"/>
      <c r="B58" s="91"/>
      <c r="C58" s="91"/>
      <c r="D58" s="92"/>
      <c r="E58" s="93"/>
      <c r="F58" s="94"/>
      <c r="G58" s="94"/>
      <c r="H58" s="94"/>
      <c r="I58" s="94"/>
      <c r="J58" s="95"/>
    </row>
    <row r="59" spans="1:10" ht="16.149999999999999" hidden="1" thickBot="1">
      <c r="A59" s="70"/>
      <c r="B59" s="71"/>
      <c r="C59" s="71"/>
      <c r="D59" s="71"/>
      <c r="E59" s="71"/>
      <c r="F59" s="72"/>
      <c r="G59" s="71"/>
      <c r="H59" s="71"/>
      <c r="I59" s="71"/>
      <c r="J59" s="126" t="s">
        <v>605</v>
      </c>
    </row>
    <row r="60" spans="1:10" ht="19.149999999999999" hidden="1">
      <c r="A60" s="949" t="s">
        <v>576</v>
      </c>
      <c r="B60" s="950"/>
      <c r="C60" s="950"/>
      <c r="D60" s="950"/>
      <c r="E60" s="950"/>
      <c r="F60" s="950"/>
      <c r="G60" s="950"/>
      <c r="H60" s="950"/>
      <c r="I60" s="950"/>
      <c r="J60" s="951"/>
    </row>
    <row r="61" spans="1:10" ht="16.899999999999999" hidden="1">
      <c r="A61" s="944" t="s">
        <v>577</v>
      </c>
      <c r="B61" s="945"/>
      <c r="C61" s="945"/>
      <c r="D61" s="946"/>
      <c r="E61" s="945" t="s">
        <v>578</v>
      </c>
      <c r="F61" s="945"/>
      <c r="G61" s="945"/>
      <c r="H61" s="945"/>
      <c r="I61" s="945"/>
      <c r="J61" s="952"/>
    </row>
    <row r="62" spans="1:10" ht="16.899999999999999" hidden="1">
      <c r="A62" s="73"/>
      <c r="B62" s="74"/>
      <c r="C62" s="74"/>
      <c r="D62" s="75"/>
      <c r="E62" s="76" t="s">
        <v>599</v>
      </c>
      <c r="F62" s="76"/>
      <c r="G62" s="76"/>
      <c r="H62" s="67"/>
      <c r="I62" s="67"/>
      <c r="J62" s="77"/>
    </row>
    <row r="63" spans="1:10" ht="15.75" hidden="1">
      <c r="A63" s="78"/>
      <c r="B63" s="79"/>
      <c r="C63" s="79"/>
      <c r="D63" s="80"/>
      <c r="E63" s="76" t="s">
        <v>600</v>
      </c>
      <c r="F63" s="82"/>
      <c r="G63" s="82"/>
      <c r="H63" s="82"/>
      <c r="I63" s="82"/>
      <c r="J63" s="83"/>
    </row>
    <row r="64" spans="1:10" ht="15.75" hidden="1">
      <c r="A64" s="78"/>
      <c r="B64" s="79"/>
      <c r="C64" s="79"/>
      <c r="D64" s="80"/>
      <c r="E64" s="76" t="s">
        <v>601</v>
      </c>
      <c r="F64" s="84"/>
      <c r="G64" s="79"/>
      <c r="H64" s="79"/>
      <c r="I64" s="79"/>
      <c r="J64" s="83"/>
    </row>
    <row r="65" spans="1:10" ht="15.75" hidden="1">
      <c r="A65" s="78"/>
      <c r="B65" s="79"/>
      <c r="C65" s="79"/>
      <c r="D65" s="80"/>
      <c r="E65" s="76" t="s">
        <v>602</v>
      </c>
      <c r="F65" s="82"/>
      <c r="G65" s="82"/>
      <c r="H65" s="82"/>
      <c r="I65" s="82"/>
      <c r="J65" s="83"/>
    </row>
    <row r="66" spans="1:10" ht="15.75" hidden="1">
      <c r="A66" s="78"/>
      <c r="B66" s="79"/>
      <c r="C66" s="79"/>
      <c r="D66" s="80"/>
      <c r="E66" s="76" t="s">
        <v>603</v>
      </c>
      <c r="F66" s="84"/>
      <c r="G66" s="79"/>
      <c r="H66" s="79"/>
      <c r="I66" s="79"/>
      <c r="J66" s="83"/>
    </row>
    <row r="67" spans="1:10" hidden="1">
      <c r="A67" s="78"/>
      <c r="B67" s="79"/>
      <c r="C67" s="79"/>
      <c r="D67" s="80"/>
      <c r="E67" s="69"/>
      <c r="F67" s="84"/>
      <c r="G67" s="79"/>
      <c r="H67" s="79"/>
      <c r="I67" s="79"/>
      <c r="J67" s="83"/>
    </row>
    <row r="68" spans="1:10" ht="15.75" hidden="1">
      <c r="A68" s="78"/>
      <c r="B68" s="79"/>
      <c r="C68" s="79"/>
      <c r="D68" s="80"/>
      <c r="E68" s="76" t="s">
        <v>604</v>
      </c>
      <c r="F68" s="84"/>
      <c r="G68" s="79"/>
      <c r="H68" s="79"/>
      <c r="I68" s="79"/>
      <c r="J68" s="83"/>
    </row>
    <row r="69" spans="1:10" ht="15.75" hidden="1">
      <c r="A69" s="78"/>
      <c r="B69" s="79"/>
      <c r="C69" s="79"/>
      <c r="D69" s="80"/>
      <c r="E69" s="76"/>
      <c r="F69" s="84"/>
      <c r="G69" s="79"/>
      <c r="H69" s="79"/>
      <c r="I69" s="79"/>
      <c r="J69" s="83"/>
    </row>
    <row r="70" spans="1:10" ht="15.75" hidden="1">
      <c r="A70" s="78"/>
      <c r="B70" s="79"/>
      <c r="C70" s="79"/>
      <c r="D70" s="80"/>
      <c r="E70" s="76"/>
      <c r="F70" s="84"/>
      <c r="G70" s="79"/>
      <c r="H70" s="79"/>
      <c r="I70" s="79"/>
      <c r="J70" s="83"/>
    </row>
    <row r="71" spans="1:10" ht="16.899999999999999" hidden="1">
      <c r="A71" s="937"/>
      <c r="B71" s="938"/>
      <c r="C71" s="938"/>
      <c r="D71" s="939"/>
      <c r="E71" s="76"/>
      <c r="F71" s="89"/>
      <c r="G71" s="89"/>
      <c r="H71" s="89"/>
      <c r="I71" s="89"/>
      <c r="J71" s="83"/>
    </row>
    <row r="72" spans="1:10" ht="16.899999999999999" hidden="1">
      <c r="A72" s="73"/>
      <c r="B72" s="74"/>
      <c r="C72" s="74"/>
      <c r="D72" s="85"/>
      <c r="E72" s="96"/>
      <c r="F72" s="89"/>
      <c r="G72" s="89"/>
      <c r="H72" s="89"/>
      <c r="I72" s="89"/>
      <c r="J72" s="83"/>
    </row>
    <row r="73" spans="1:10" ht="15.75" hidden="1">
      <c r="A73" s="78"/>
      <c r="B73" s="79"/>
      <c r="C73" s="79"/>
      <c r="D73" s="80"/>
      <c r="E73" s="69"/>
      <c r="F73" s="88"/>
      <c r="G73" s="88"/>
      <c r="H73" s="88"/>
      <c r="I73" s="88"/>
      <c r="J73" s="83"/>
    </row>
    <row r="74" spans="1:10" ht="16.149999999999999" hidden="1" thickBot="1">
      <c r="A74" s="90"/>
      <c r="B74" s="91"/>
      <c r="C74" s="91"/>
      <c r="D74" s="92"/>
      <c r="E74" s="93"/>
      <c r="F74" s="94"/>
      <c r="G74" s="94"/>
      <c r="H74" s="94"/>
      <c r="I74" s="94"/>
      <c r="J74" s="95"/>
    </row>
    <row r="75" spans="1:10" ht="16.149999999999999" hidden="1" thickBot="1">
      <c r="A75" s="70"/>
      <c r="B75" s="71"/>
      <c r="C75" s="71"/>
      <c r="D75" s="71"/>
      <c r="E75" s="71"/>
      <c r="F75" s="72"/>
      <c r="G75" s="71"/>
      <c r="H75" s="71"/>
      <c r="I75" s="71"/>
      <c r="J75" s="126" t="s">
        <v>605</v>
      </c>
    </row>
  </sheetData>
  <mergeCells count="30">
    <mergeCell ref="C27:D27"/>
    <mergeCell ref="F27:H27"/>
    <mergeCell ref="A71:D71"/>
    <mergeCell ref="F28:H28"/>
    <mergeCell ref="A30:J30"/>
    <mergeCell ref="A31:D31"/>
    <mergeCell ref="E31:J31"/>
    <mergeCell ref="A41:D41"/>
    <mergeCell ref="A43:D43"/>
    <mergeCell ref="A54:D54"/>
    <mergeCell ref="A56:D56"/>
    <mergeCell ref="A60:J60"/>
    <mergeCell ref="A61:D61"/>
    <mergeCell ref="E61:J61"/>
    <mergeCell ref="B14:B18"/>
    <mergeCell ref="A1:J1"/>
    <mergeCell ref="A3:A11"/>
    <mergeCell ref="B3:J11"/>
    <mergeCell ref="A12:A26"/>
    <mergeCell ref="B12:B13"/>
    <mergeCell ref="C12:C13"/>
    <mergeCell ref="D12:E12"/>
    <mergeCell ref="F12:F13"/>
    <mergeCell ref="G12:G13"/>
    <mergeCell ref="H12:H13"/>
    <mergeCell ref="I12:I13"/>
    <mergeCell ref="J12:J13"/>
    <mergeCell ref="B20:B22"/>
    <mergeCell ref="B23:B26"/>
    <mergeCell ref="B2:J2"/>
  </mergeCells>
  <phoneticPr fontId="2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33BFB343C814BF4494B7A0CCA0B70375" ma:contentTypeVersion="6" ma:contentTypeDescription="Create a new document." ma:contentTypeScope="" ma:versionID="8272ad5e289ad270d33d8ae9a52b4e71">
  <xsd:schema xmlns:xsd="http://www.w3.org/2001/XMLSchema" xmlns:xs="http://www.w3.org/2001/XMLSchema" xmlns:p="http://schemas.microsoft.com/office/2006/metadata/properties" xmlns:ns3="fcf30631-8e1c-4167-bb4c-b01d09af839c" targetNamespace="http://schemas.microsoft.com/office/2006/metadata/properties" ma:root="true" ma:fieldsID="1d98e56b7928223b5c1f200175fe54a5" ns3:_="">
    <xsd:import namespace="fcf30631-8e1c-4167-bb4c-b01d09af839c"/>
    <xsd:element name="properties">
      <xsd:complexType>
        <xsd:sequence>
          <xsd:element name="documentManagement">
            <xsd:complexType>
              <xsd:all>
                <xsd:element ref="ns3:MediaServiceDateTaken" minOccurs="0"/>
                <xsd:element ref="ns3:MediaServiceMetadata" minOccurs="0"/>
                <xsd:element ref="ns3:MediaServiceFastMetadata" minOccurs="0"/>
                <xsd:element ref="ns3:MediaServiceSearchProperties" minOccurs="0"/>
                <xsd:element ref="ns3:MediaServiceObjectDetectorVersions" minOccurs="0"/>
                <xsd:element ref="ns3:_activity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cf30631-8e1c-4167-bb4c-b01d09af839c" elementFormDefault="qualified">
    <xsd:import namespace="http://schemas.microsoft.com/office/2006/documentManagement/types"/>
    <xsd:import namespace="http://schemas.microsoft.com/office/infopath/2007/PartnerControls"/>
    <xsd:element name="MediaServiceDateTaken" ma:index="8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Metadata" ma:index="9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0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2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_activity" ma:index="13" nillable="true" ma:displayName="_activity" ma:hidden="true" ma:internalName="_activity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fcf30631-8e1c-4167-bb4c-b01d09af839c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841F0D87-FA26-4DC1-92D0-E112471539A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fcf30631-8e1c-4167-bb4c-b01d09af839c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8ECA0053-4725-4BF6-BAE5-1A16C014D350}">
  <ds:schemaRefs>
    <ds:schemaRef ds:uri="http://schemas.microsoft.com/office/infopath/2007/PartnerControls"/>
    <ds:schemaRef ds:uri="http://purl.org/dc/terms/"/>
    <ds:schemaRef ds:uri="http://purl.org/dc/elements/1.1/"/>
    <ds:schemaRef ds:uri="http://purl.org/dc/dcmitype/"/>
    <ds:schemaRef ds:uri="http://schemas.openxmlformats.org/package/2006/metadata/core-properties"/>
    <ds:schemaRef ds:uri="http://schemas.microsoft.com/office/2006/documentManagement/types"/>
    <ds:schemaRef ds:uri="fcf30631-8e1c-4167-bb4c-b01d09af839c"/>
    <ds:schemaRef ds:uri="http://schemas.microsoft.com/office/2006/metadata/properties"/>
    <ds:schemaRef ds:uri="http://www.w3.org/XML/1998/namespace"/>
  </ds:schemaRefs>
</ds:datastoreItem>
</file>

<file path=customXml/itemProps3.xml><?xml version="1.0" encoding="utf-8"?>
<ds:datastoreItem xmlns:ds="http://schemas.openxmlformats.org/officeDocument/2006/customXml" ds:itemID="{4C2E175B-EA0E-4081-9F4A-9D9C719D713D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34</vt:i4>
      </vt:variant>
      <vt:variant>
        <vt:lpstr>Named Ranges</vt:lpstr>
      </vt:variant>
      <vt:variant>
        <vt:i4>1</vt:i4>
      </vt:variant>
    </vt:vector>
  </HeadingPairs>
  <TitlesOfParts>
    <vt:vector size="35" baseType="lpstr">
      <vt:lpstr>MasterSheet</vt:lpstr>
      <vt:lpstr>CK</vt:lpstr>
      <vt:lpstr>MasterSheet (2)</vt:lpstr>
      <vt:lpstr>INVENTORY</vt:lpstr>
      <vt:lpstr>SALES MIX</vt:lpstr>
      <vt:lpstr>COSTING SUMMARY</vt:lpstr>
      <vt:lpstr>COSTING</vt:lpstr>
      <vt:lpstr>Sample</vt:lpstr>
      <vt:lpstr>Coco-cole(Hot)</vt:lpstr>
      <vt:lpstr>Popcorn Chicken</vt:lpstr>
      <vt:lpstr>Coco-cole(Cheese)</vt:lpstr>
      <vt:lpstr>French Fries</vt:lpstr>
      <vt:lpstr>Cheesestick</vt:lpstr>
      <vt:lpstr>Fried dumpling</vt:lpstr>
      <vt:lpstr>Steamed Rice</vt:lpstr>
      <vt:lpstr>Mozzarella Cheese</vt:lpstr>
      <vt:lpstr>Sundae Ice cream(Vanila)</vt:lpstr>
      <vt:lpstr>Sundae Ice cream(Choco)</vt:lpstr>
      <vt:lpstr>Coleslaw</vt:lpstr>
      <vt:lpstr>Seaweed Roll</vt:lpstr>
      <vt:lpstr>Cheeseball</vt:lpstr>
      <vt:lpstr>Chicken Skin</vt:lpstr>
      <vt:lpstr>Corn Dog</vt:lpstr>
      <vt:lpstr>Fish Bread</vt:lpstr>
      <vt:lpstr>Kids meal</vt:lpstr>
      <vt:lpstr>Japchae</vt:lpstr>
      <vt:lpstr>K-Boost</vt:lpstr>
      <vt:lpstr>Misutgaru</vt:lpstr>
      <vt:lpstr>Golden Fried Wing (1pc)</vt:lpstr>
      <vt:lpstr>Hot Spicy Wing(1pc) (2)</vt:lpstr>
      <vt:lpstr>Cheesling Wing(1pc) (2)</vt:lpstr>
      <vt:lpstr>Golden Fried Wing Combo (4pc)</vt:lpstr>
      <vt:lpstr>Hot Spicy Rice Combo(4pcs)</vt:lpstr>
      <vt:lpstr>GFC Rice Combo(4pcs)</vt:lpstr>
      <vt:lpstr>COSTING!Print_Area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GENESIS</dc:creator>
  <cp:lastModifiedBy>BBQ Chicken</cp:lastModifiedBy>
  <cp:lastPrinted>2024-12-31T03:06:57Z</cp:lastPrinted>
  <dcterms:created xsi:type="dcterms:W3CDTF">2024-04-29T01:45:08Z</dcterms:created>
  <dcterms:modified xsi:type="dcterms:W3CDTF">2026-01-06T06:16:09Z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0x01010033BFB343C814BF4494B7A0CCA0B70375</vt:lpwstr>
  </property>
</Properties>
</file>